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DieseArbeitsmappe" autoCompressPictures="0"/>
  <bookViews>
    <workbookView xWindow="0" yWindow="0" windowWidth="15348" windowHeight="6708" tabRatio="500"/>
  </bookViews>
  <sheets>
    <sheet name="Schularbeitsplaner" sheetId="2" r:id="rId1"/>
    <sheet name="Beurteilungsblatt" sheetId="6" r:id="rId2"/>
  </sheets>
  <definedNames>
    <definedName name="_xlnm.Print_Area" localSheetId="1">Beurteilungsblatt!$B$8:$AE$52</definedName>
    <definedName name="_xlnm.Print_Area" localSheetId="0">Schularbeitsplaner!$B$1:$L$33</definedName>
  </definedNames>
  <calcPr calcId="124519"/>
</workbook>
</file>

<file path=xl/calcChain.xml><?xml version="1.0" encoding="utf-8"?>
<calcChain xmlns="http://schemas.openxmlformats.org/spreadsheetml/2006/main">
  <c r="G34" i="6"/>
  <c r="G35"/>
  <c r="G36"/>
  <c r="G37"/>
  <c r="G38"/>
  <c r="G39"/>
  <c r="G40"/>
  <c r="G41"/>
  <c r="G42"/>
  <c r="G43"/>
  <c r="G44"/>
  <c r="G45"/>
  <c r="G46"/>
  <c r="G47"/>
  <c r="G48"/>
  <c r="G49"/>
  <c r="F51"/>
  <c r="I51"/>
  <c r="J51"/>
  <c r="K51"/>
  <c r="L51"/>
  <c r="M51"/>
  <c r="O51"/>
  <c r="P51"/>
  <c r="Q51"/>
  <c r="R51"/>
  <c r="E51"/>
  <c r="AA26"/>
  <c r="U34"/>
  <c r="U36"/>
  <c r="U37"/>
  <c r="U38"/>
  <c r="U39"/>
  <c r="U40"/>
  <c r="U41"/>
  <c r="U42"/>
  <c r="U43"/>
  <c r="U44"/>
  <c r="X44" s="1"/>
  <c r="Y44" s="1"/>
  <c r="U45"/>
  <c r="U46"/>
  <c r="U47"/>
  <c r="U48"/>
  <c r="U49"/>
  <c r="H34"/>
  <c r="H35"/>
  <c r="H36"/>
  <c r="X36" s="1"/>
  <c r="Y36" s="1"/>
  <c r="H38"/>
  <c r="H39"/>
  <c r="H40"/>
  <c r="H41"/>
  <c r="X41" s="1"/>
  <c r="Y41" s="1"/>
  <c r="H42"/>
  <c r="X42" s="1"/>
  <c r="Y42" s="1"/>
  <c r="H43"/>
  <c r="H44"/>
  <c r="H45"/>
  <c r="X45" s="1"/>
  <c r="Y45" s="1"/>
  <c r="H46"/>
  <c r="H47"/>
  <c r="H48"/>
  <c r="H49"/>
  <c r="Y19"/>
  <c r="X19"/>
  <c r="U19"/>
  <c r="H19"/>
  <c r="L8"/>
  <c r="H8"/>
  <c r="S23"/>
  <c r="S24"/>
  <c r="S25"/>
  <c r="S26"/>
  <c r="S27"/>
  <c r="S28"/>
  <c r="S29"/>
  <c r="S30"/>
  <c r="S31"/>
  <c r="S32"/>
  <c r="S33"/>
  <c r="S34"/>
  <c r="S35"/>
  <c r="S36"/>
  <c r="T36" s="1"/>
  <c r="W36" s="1"/>
  <c r="S37"/>
  <c r="S38"/>
  <c r="S39"/>
  <c r="S40"/>
  <c r="S41"/>
  <c r="S42"/>
  <c r="S43"/>
  <c r="S44"/>
  <c r="S45"/>
  <c r="S46"/>
  <c r="S47"/>
  <c r="S48"/>
  <c r="S49"/>
  <c r="N23"/>
  <c r="N24"/>
  <c r="N25"/>
  <c r="N26"/>
  <c r="N27"/>
  <c r="N28"/>
  <c r="N29"/>
  <c r="N30"/>
  <c r="N31"/>
  <c r="N32"/>
  <c r="N33"/>
  <c r="N34"/>
  <c r="T34" s="1"/>
  <c r="W34" s="1"/>
  <c r="N35"/>
  <c r="N36"/>
  <c r="N37"/>
  <c r="N38"/>
  <c r="T38" s="1"/>
  <c r="N39"/>
  <c r="N40"/>
  <c r="N41"/>
  <c r="N42"/>
  <c r="T42" s="1"/>
  <c r="W42" s="1"/>
  <c r="N43"/>
  <c r="N44"/>
  <c r="N45"/>
  <c r="N46"/>
  <c r="N47"/>
  <c r="N48"/>
  <c r="N49"/>
  <c r="T46"/>
  <c r="T47"/>
  <c r="W47" s="1"/>
  <c r="T43"/>
  <c r="T39"/>
  <c r="T35"/>
  <c r="U35"/>
  <c r="N22"/>
  <c r="S22"/>
  <c r="C33" i="2"/>
  <c r="E29"/>
  <c r="E16"/>
  <c r="E23"/>
  <c r="E10"/>
  <c r="P20" i="6"/>
  <c r="P52" s="1"/>
  <c r="Q20"/>
  <c r="Q52" s="1"/>
  <c r="R20"/>
  <c r="R52" s="1"/>
  <c r="O20"/>
  <c r="O52" s="1"/>
  <c r="K20"/>
  <c r="K52" s="1"/>
  <c r="L20"/>
  <c r="L52" s="1"/>
  <c r="M20"/>
  <c r="M52" s="1"/>
  <c r="J20"/>
  <c r="J52" s="1"/>
  <c r="N20" i="2"/>
  <c r="N19"/>
  <c r="N18"/>
  <c r="N17"/>
  <c r="D31"/>
  <c r="L23"/>
  <c r="L10"/>
  <c r="E31"/>
  <c r="E30"/>
  <c r="D30"/>
  <c r="D10"/>
  <c r="E11" i="6"/>
  <c r="E20" s="1"/>
  <c r="E52" s="1"/>
  <c r="E50" s="1"/>
  <c r="D16" i="2"/>
  <c r="F11" i="6"/>
  <c r="F20" s="1"/>
  <c r="F52" s="1"/>
  <c r="F50" s="1"/>
  <c r="D23" i="2"/>
  <c r="I11" i="6" s="1"/>
  <c r="I20" s="1"/>
  <c r="I52" s="1"/>
  <c r="G50" s="1"/>
  <c r="B23"/>
  <c r="B24"/>
  <c r="B25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K18" i="2"/>
  <c r="K19"/>
  <c r="K20"/>
  <c r="K17"/>
  <c r="K12"/>
  <c r="K13"/>
  <c r="K14"/>
  <c r="K11"/>
  <c r="K24"/>
  <c r="K23" s="1"/>
  <c r="K25"/>
  <c r="K26"/>
  <c r="K27"/>
  <c r="O11" i="6"/>
  <c r="D29" i="2"/>
  <c r="F29"/>
  <c r="J12" i="6" s="1"/>
  <c r="L16" i="2"/>
  <c r="L29"/>
  <c r="J11" i="6"/>
  <c r="O12"/>
  <c r="F16" i="2"/>
  <c r="F12" i="6"/>
  <c r="F10" i="2"/>
  <c r="E14"/>
  <c r="E20"/>
  <c r="E18"/>
  <c r="E17"/>
  <c r="E19"/>
  <c r="G19" s="1"/>
  <c r="E11"/>
  <c r="E12"/>
  <c r="E12" i="6"/>
  <c r="E13" i="2"/>
  <c r="G32" i="6"/>
  <c r="G17" i="2"/>
  <c r="G18"/>
  <c r="G10"/>
  <c r="G30"/>
  <c r="G20"/>
  <c r="G12"/>
  <c r="G13"/>
  <c r="G23"/>
  <c r="G29"/>
  <c r="G16"/>
  <c r="G31"/>
  <c r="G11"/>
  <c r="G14"/>
  <c r="E13" i="6"/>
  <c r="X34"/>
  <c r="Y34" s="1"/>
  <c r="X38"/>
  <c r="Y38" s="1"/>
  <c r="X39"/>
  <c r="Y39" s="1"/>
  <c r="X47"/>
  <c r="Y47" s="1"/>
  <c r="X46"/>
  <c r="Y46" s="1"/>
  <c r="X49"/>
  <c r="Y49" s="1"/>
  <c r="X43"/>
  <c r="Y43" s="1"/>
  <c r="H37"/>
  <c r="X37" s="1"/>
  <c r="Y37" s="1"/>
  <c r="T48" l="1"/>
  <c r="W48" s="1"/>
  <c r="W35"/>
  <c r="G27"/>
  <c r="O13"/>
  <c r="F13"/>
  <c r="T44"/>
  <c r="W44" s="1"/>
  <c r="T40"/>
  <c r="X48"/>
  <c r="Y48" s="1"/>
  <c r="X40"/>
  <c r="Y40" s="1"/>
  <c r="X35"/>
  <c r="Y35" s="1"/>
  <c r="W46"/>
  <c r="W38"/>
  <c r="G26"/>
  <c r="N51"/>
  <c r="W43"/>
  <c r="T49"/>
  <c r="W49" s="1"/>
  <c r="T45"/>
  <c r="W45" s="1"/>
  <c r="T41"/>
  <c r="W41" s="1"/>
  <c r="T37"/>
  <c r="W37" s="1"/>
  <c r="H13"/>
  <c r="H20" s="1"/>
  <c r="G13"/>
  <c r="S51"/>
  <c r="W39"/>
  <c r="W40"/>
  <c r="G15"/>
  <c r="H27" s="1"/>
  <c r="G22"/>
  <c r="N20"/>
  <c r="J13"/>
  <c r="G31"/>
  <c r="G30"/>
  <c r="G24"/>
  <c r="F23" i="2"/>
  <c r="G25" i="6"/>
  <c r="G28"/>
  <c r="G33"/>
  <c r="G23"/>
  <c r="G29"/>
  <c r="S20"/>
  <c r="S52" s="1"/>
  <c r="I50" s="1"/>
  <c r="N52" l="1"/>
  <c r="H50" s="1"/>
  <c r="G20"/>
  <c r="H15"/>
  <c r="H22"/>
  <c r="H32"/>
  <c r="H26"/>
  <c r="H30"/>
  <c r="H33"/>
  <c r="H24"/>
  <c r="H23"/>
  <c r="E25" i="2"/>
  <c r="G25" s="1"/>
  <c r="E27"/>
  <c r="G27" s="1"/>
  <c r="E24"/>
  <c r="G24" s="1"/>
  <c r="E26"/>
  <c r="G26" s="1"/>
  <c r="I12" i="6"/>
  <c r="H29"/>
  <c r="H25"/>
  <c r="H31"/>
  <c r="H28"/>
  <c r="G51"/>
  <c r="G52" s="1"/>
  <c r="H51" l="1"/>
  <c r="H52" s="1"/>
  <c r="T33"/>
  <c r="T29"/>
  <c r="T27"/>
  <c r="T25"/>
  <c r="T31"/>
  <c r="T26"/>
  <c r="T23"/>
  <c r="T30"/>
  <c r="T28"/>
  <c r="T24"/>
  <c r="T32"/>
  <c r="T22"/>
  <c r="I13"/>
  <c r="U13" l="1"/>
  <c r="U20" s="1"/>
  <c r="T13"/>
  <c r="W33"/>
  <c r="W29"/>
  <c r="W31"/>
  <c r="W27"/>
  <c r="W28"/>
  <c r="W24"/>
  <c r="W26"/>
  <c r="W32"/>
  <c r="W23"/>
  <c r="T51"/>
  <c r="W22"/>
  <c r="W30"/>
  <c r="W25"/>
  <c r="U15" l="1"/>
  <c r="T15"/>
  <c r="X13"/>
  <c r="T20"/>
  <c r="T52" s="1"/>
  <c r="W51"/>
  <c r="U26" l="1"/>
  <c r="X26" s="1"/>
  <c r="U30"/>
  <c r="X30" s="1"/>
  <c r="U31"/>
  <c r="X31" s="1"/>
  <c r="U23"/>
  <c r="X23" s="1"/>
  <c r="U22"/>
  <c r="U27"/>
  <c r="X27" s="1"/>
  <c r="U33"/>
  <c r="X33" s="1"/>
  <c r="U28"/>
  <c r="X28" s="1"/>
  <c r="U25"/>
  <c r="X25" s="1"/>
  <c r="U32"/>
  <c r="X32" s="1"/>
  <c r="U29"/>
  <c r="X29" s="1"/>
  <c r="U24"/>
  <c r="X24" s="1"/>
  <c r="X15"/>
  <c r="AE15" s="1"/>
  <c r="AC14" s="1"/>
  <c r="AE11"/>
  <c r="X20"/>
  <c r="W20"/>
  <c r="W52" s="1"/>
  <c r="AC12" l="1"/>
  <c r="AE13" s="1"/>
  <c r="AC13"/>
  <c r="AE14" s="1"/>
  <c r="Y27" s="1"/>
  <c r="AC11"/>
  <c r="AE12" s="1"/>
  <c r="U51"/>
  <c r="U52" s="1"/>
  <c r="X22"/>
  <c r="X51" l="1"/>
  <c r="X52" s="1"/>
  <c r="Y22"/>
  <c r="Y31"/>
  <c r="Y30"/>
  <c r="Y25"/>
  <c r="Y24"/>
  <c r="Y26"/>
  <c r="Y28"/>
  <c r="Y29"/>
  <c r="Y32"/>
  <c r="Y23"/>
  <c r="Y33"/>
  <c r="AC22" l="1"/>
  <c r="AC20"/>
  <c r="AC23"/>
  <c r="AC24"/>
  <c r="AC21"/>
  <c r="AC25" l="1"/>
  <c r="AD22" l="1"/>
  <c r="AD25"/>
  <c r="AD21"/>
  <c r="AD23"/>
  <c r="AD20"/>
  <c r="AD24"/>
</calcChain>
</file>

<file path=xl/sharedStrings.xml><?xml version="1.0" encoding="utf-8"?>
<sst xmlns="http://schemas.openxmlformats.org/spreadsheetml/2006/main" count="162" uniqueCount="96">
  <si>
    <t>Lesen</t>
  </si>
  <si>
    <t>Hören</t>
  </si>
  <si>
    <t>Schreiben 1</t>
  </si>
  <si>
    <t>Schreiben 2</t>
  </si>
  <si>
    <t>Items</t>
  </si>
  <si>
    <t>cut score</t>
  </si>
  <si>
    <t>Sehr gut</t>
  </si>
  <si>
    <t>von</t>
  </si>
  <si>
    <t>Gut</t>
  </si>
  <si>
    <t>Befriedigend</t>
  </si>
  <si>
    <t>Genügend</t>
  </si>
  <si>
    <t>mittel</t>
  </si>
  <si>
    <t>Schularbeitenrechner</t>
  </si>
  <si>
    <t>Klasse</t>
  </si>
  <si>
    <t xml:space="preserve">Nr. </t>
  </si>
  <si>
    <t>Name</t>
  </si>
  <si>
    <t>Vorname</t>
  </si>
  <si>
    <t>SiK</t>
  </si>
  <si>
    <t>EA</t>
  </si>
  <si>
    <t>A&amp;L</t>
  </si>
  <si>
    <t>SSM</t>
  </si>
  <si>
    <t>SR</t>
  </si>
  <si>
    <t>Produktiv</t>
  </si>
  <si>
    <t>Note</t>
  </si>
  <si>
    <t>Rezeptiv gewichtet</t>
  </si>
  <si>
    <t>Produktiv gewichtet</t>
  </si>
  <si>
    <t>Gesamt gewichtet</t>
  </si>
  <si>
    <t>Hörtext 1</t>
  </si>
  <si>
    <t>Schwierigkeit</t>
  </si>
  <si>
    <t>Hörtext 2</t>
  </si>
  <si>
    <t>Hörtext 3</t>
  </si>
  <si>
    <t>Hörtext 4</t>
  </si>
  <si>
    <t>Lesetext 1</t>
  </si>
  <si>
    <t>Lesetext 2</t>
  </si>
  <si>
    <t>Lesetext 3</t>
  </si>
  <si>
    <t>Lesetext 4</t>
  </si>
  <si>
    <t>LESEN</t>
  </si>
  <si>
    <t>HÖREN</t>
  </si>
  <si>
    <t>SiK 1</t>
  </si>
  <si>
    <t>SiK 2</t>
  </si>
  <si>
    <t>SiK 3</t>
  </si>
  <si>
    <t>Schreibauftrag 1</t>
  </si>
  <si>
    <t>Schreibauftrag 2</t>
  </si>
  <si>
    <t>Punkte</t>
  </si>
  <si>
    <t>schwierig</t>
  </si>
  <si>
    <t>Schularbeitsplanung</t>
  </si>
  <si>
    <t>SCHREIBEN</t>
  </si>
  <si>
    <t>SPRACHE IM KONTEXT</t>
  </si>
  <si>
    <t>Nicht genügend</t>
  </si>
  <si>
    <t>Struktur</t>
  </si>
  <si>
    <t>%</t>
  </si>
  <si>
    <t>Gesamt</t>
  </si>
  <si>
    <t>Min</t>
  </si>
  <si>
    <t xml:space="preserve">Dauer </t>
  </si>
  <si>
    <t>RP-Modell</t>
  </si>
  <si>
    <t>Maximum</t>
  </si>
  <si>
    <t>rezeptiv</t>
  </si>
  <si>
    <t>produktiv</t>
  </si>
  <si>
    <t>Gesamtverrechnung</t>
  </si>
  <si>
    <t>Summe</t>
  </si>
  <si>
    <t>Beurteilung</t>
  </si>
  <si>
    <t>Σ</t>
  </si>
  <si>
    <t xml:space="preserve">Gesamt </t>
  </si>
  <si>
    <t>Fach</t>
  </si>
  <si>
    <t>Schularbeit</t>
  </si>
  <si>
    <t>SiK 4</t>
  </si>
  <si>
    <t>Wertigkeit</t>
  </si>
  <si>
    <t>Wertigkeit der Items</t>
  </si>
  <si>
    <t>bis</t>
  </si>
  <si>
    <t>≤</t>
  </si>
  <si>
    <t>&lt;</t>
  </si>
  <si>
    <t>Anzahl der Teilbereiche</t>
  </si>
  <si>
    <t>Notenschlüssel</t>
  </si>
  <si>
    <t>Datum</t>
  </si>
  <si>
    <t>Mittelwerte</t>
  </si>
  <si>
    <t>in %</t>
  </si>
  <si>
    <t xml:space="preserve">Hören </t>
  </si>
  <si>
    <t>Schülerzahl</t>
  </si>
  <si>
    <t>Häufigkeit</t>
  </si>
  <si>
    <t>Nicht gen</t>
  </si>
  <si>
    <t>Notenverteilung</t>
  </si>
  <si>
    <t>Lösungsquote nach Kompetenzbereichen in %</t>
  </si>
  <si>
    <t>Englisch</t>
  </si>
  <si>
    <t>Name01</t>
  </si>
  <si>
    <t>Name02</t>
  </si>
  <si>
    <t>Name03</t>
  </si>
  <si>
    <t>Name04</t>
  </si>
  <si>
    <t>Name05</t>
  </si>
  <si>
    <t>Name06</t>
  </si>
  <si>
    <t>Name07</t>
  </si>
  <si>
    <t>Name08</t>
  </si>
  <si>
    <t>Name09</t>
  </si>
  <si>
    <t>Name10</t>
  </si>
  <si>
    <t>Name11</t>
  </si>
  <si>
    <t>Name12</t>
  </si>
  <si>
    <t>7A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</si>
</sst>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0.0"/>
    <numFmt numFmtId="167" formatCode="#,##0_ ;\-#,##0\ "/>
    <numFmt numFmtId="168" formatCode="#,##0.00_ ;\-#,##0.00\ 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F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9">
    <xf numFmtId="0" fontId="0" fillId="0" borderId="0" xfId="0"/>
    <xf numFmtId="43" fontId="3" fillId="0" borderId="0" xfId="1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3" borderId="2" xfId="0" applyFill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43" fontId="0" fillId="3" borderId="0" xfId="0" applyNumberFormat="1" applyFill="1"/>
    <xf numFmtId="0" fontId="0" fillId="2" borderId="0" xfId="0" applyFill="1" applyAlignment="1">
      <alignment horizontal="center"/>
    </xf>
    <xf numFmtId="0" fontId="0" fillId="3" borderId="2" xfId="0" applyFill="1" applyBorder="1" applyAlignment="1" applyProtection="1">
      <alignment horizontal="center"/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4" fillId="0" borderId="0" xfId="0" applyFont="1"/>
    <xf numFmtId="0" fontId="0" fillId="4" borderId="2" xfId="0" applyFill="1" applyBorder="1"/>
    <xf numFmtId="0" fontId="0" fillId="0" borderId="3" xfId="0" applyBorder="1" applyProtection="1">
      <protection locked="0"/>
    </xf>
    <xf numFmtId="0" fontId="0" fillId="4" borderId="2" xfId="0" applyFill="1" applyBorder="1" applyAlignment="1">
      <alignment horizontal="center"/>
    </xf>
    <xf numFmtId="0" fontId="0" fillId="0" borderId="0" xfId="0" applyFill="1" applyBorder="1"/>
    <xf numFmtId="0" fontId="0" fillId="3" borderId="4" xfId="0" applyFill="1" applyBorder="1"/>
    <xf numFmtId="0" fontId="5" fillId="2" borderId="2" xfId="0" applyFont="1" applyFill="1" applyBorder="1"/>
    <xf numFmtId="0" fontId="0" fillId="0" borderId="0" xfId="0" applyFill="1" applyAlignment="1">
      <alignment horizontal="right" vertical="center"/>
    </xf>
    <xf numFmtId="0" fontId="5" fillId="3" borderId="2" xfId="0" applyFont="1" applyFill="1" applyBorder="1"/>
    <xf numFmtId="0" fontId="0" fillId="3" borderId="4" xfId="0" applyFill="1" applyBorder="1" applyAlignment="1" applyProtection="1">
      <alignment horizontal="center"/>
      <protection locked="0" hidden="1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43" fontId="0" fillId="4" borderId="2" xfId="0" applyNumberFormat="1" applyFill="1" applyBorder="1"/>
    <xf numFmtId="0" fontId="5" fillId="4" borderId="2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4" borderId="2" xfId="0" applyFont="1" applyFill="1" applyBorder="1" applyAlignment="1"/>
    <xf numFmtId="1" fontId="5" fillId="6" borderId="2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7" borderId="6" xfId="1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 applyProtection="1">
      <alignment horizontal="center"/>
      <protection hidden="1"/>
    </xf>
    <xf numFmtId="1" fontId="5" fillId="4" borderId="2" xfId="0" applyNumberFormat="1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Protection="1"/>
    <xf numFmtId="2" fontId="7" fillId="3" borderId="2" xfId="0" applyNumberFormat="1" applyFont="1" applyFill="1" applyBorder="1" applyProtection="1"/>
    <xf numFmtId="0" fontId="0" fillId="3" borderId="2" xfId="0" applyFill="1" applyBorder="1" applyProtection="1"/>
    <xf numFmtId="1" fontId="5" fillId="7" borderId="6" xfId="0" applyNumberFormat="1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4" xfId="0" applyBorder="1" applyProtection="1">
      <protection locked="0"/>
    </xf>
    <xf numFmtId="0" fontId="0" fillId="0" borderId="9" xfId="0" applyBorder="1"/>
    <xf numFmtId="1" fontId="9" fillId="0" borderId="10" xfId="0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8" borderId="2" xfId="0" applyFill="1" applyBorder="1" applyProtection="1"/>
    <xf numFmtId="166" fontId="5" fillId="5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Protection="1"/>
    <xf numFmtId="0" fontId="9" fillId="0" borderId="10" xfId="0" applyFont="1" applyFill="1" applyBorder="1"/>
    <xf numFmtId="0" fontId="9" fillId="0" borderId="9" xfId="0" applyFont="1" applyFill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/>
    </xf>
    <xf numFmtId="0" fontId="10" fillId="0" borderId="7" xfId="0" applyFont="1" applyFill="1" applyBorder="1"/>
    <xf numFmtId="0" fontId="10" fillId="0" borderId="2" xfId="0" applyFont="1" applyFill="1" applyBorder="1"/>
    <xf numFmtId="0" fontId="0" fillId="3" borderId="18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9" fillId="0" borderId="19" xfId="0" applyFont="1" applyFill="1" applyBorder="1" applyAlignment="1">
      <alignment wrapText="1"/>
    </xf>
    <xf numFmtId="1" fontId="9" fillId="0" borderId="15" xfId="0" applyNumberFormat="1" applyFont="1" applyFill="1" applyBorder="1" applyAlignment="1">
      <alignment wrapText="1"/>
    </xf>
    <xf numFmtId="0" fontId="10" fillId="0" borderId="3" xfId="0" applyFont="1" applyFill="1" applyBorder="1"/>
    <xf numFmtId="0" fontId="9" fillId="0" borderId="16" xfId="0" applyFont="1" applyFill="1" applyBorder="1"/>
    <xf numFmtId="0" fontId="10" fillId="0" borderId="20" xfId="0" applyFont="1" applyFill="1" applyBorder="1"/>
    <xf numFmtId="0" fontId="11" fillId="0" borderId="21" xfId="0" applyFont="1" applyFill="1" applyBorder="1"/>
    <xf numFmtId="43" fontId="12" fillId="10" borderId="22" xfId="1" applyFont="1" applyFill="1" applyBorder="1" applyAlignment="1">
      <alignment horizontal="center" vertical="center"/>
    </xf>
    <xf numFmtId="43" fontId="12" fillId="10" borderId="2" xfId="1" applyFont="1" applyFill="1" applyBorder="1" applyAlignment="1">
      <alignment horizontal="center" vertical="center"/>
    </xf>
    <xf numFmtId="0" fontId="13" fillId="10" borderId="20" xfId="0" applyFont="1" applyFill="1" applyBorder="1" applyProtection="1"/>
    <xf numFmtId="0" fontId="13" fillId="10" borderId="23" xfId="0" applyFont="1" applyFill="1" applyBorder="1"/>
    <xf numFmtId="1" fontId="5" fillId="11" borderId="2" xfId="0" applyNumberFormat="1" applyFont="1" applyFill="1" applyBorder="1" applyAlignment="1">
      <alignment horizontal="center" vertical="center"/>
    </xf>
    <xf numFmtId="0" fontId="0" fillId="9" borderId="24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9" fillId="0" borderId="27" xfId="0" applyFont="1" applyFill="1" applyBorder="1"/>
    <xf numFmtId="0" fontId="9" fillId="0" borderId="17" xfId="0" applyFont="1" applyFill="1" applyBorder="1"/>
    <xf numFmtId="0" fontId="9" fillId="0" borderId="28" xfId="0" applyFont="1" applyFill="1" applyBorder="1"/>
    <xf numFmtId="0" fontId="0" fillId="0" borderId="2" xfId="0" applyBorder="1" applyProtection="1"/>
    <xf numFmtId="167" fontId="3" fillId="8" borderId="2" xfId="1" applyNumberFormat="1" applyFont="1" applyFill="1" applyBorder="1" applyAlignment="1" applyProtection="1">
      <alignment horizontal="center" vertical="center"/>
    </xf>
    <xf numFmtId="167" fontId="3" fillId="3" borderId="2" xfId="1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3" fontId="0" fillId="3" borderId="2" xfId="0" applyNumberFormat="1" applyFill="1" applyBorder="1"/>
    <xf numFmtId="0" fontId="0" fillId="0" borderId="2" xfId="0" applyFill="1" applyBorder="1"/>
    <xf numFmtId="0" fontId="4" fillId="0" borderId="2" xfId="0" applyFont="1" applyBorder="1"/>
    <xf numFmtId="43" fontId="0" fillId="2" borderId="2" xfId="0" applyNumberFormat="1" applyFill="1" applyBorder="1"/>
    <xf numFmtId="166" fontId="5" fillId="2" borderId="29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12" borderId="2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 vertical="center"/>
    </xf>
    <xf numFmtId="43" fontId="3" fillId="0" borderId="0" xfId="1" applyFont="1" applyBorder="1" applyProtection="1"/>
    <xf numFmtId="0" fontId="14" fillId="3" borderId="2" xfId="0" applyFont="1" applyFill="1" applyBorder="1" applyProtection="1"/>
    <xf numFmtId="0" fontId="14" fillId="8" borderId="2" xfId="0" applyFont="1" applyFill="1" applyBorder="1" applyProtection="1"/>
    <xf numFmtId="0" fontId="0" fillId="0" borderId="30" xfId="0" applyBorder="1"/>
    <xf numFmtId="0" fontId="9" fillId="10" borderId="3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0" fillId="0" borderId="32" xfId="0" applyBorder="1"/>
    <xf numFmtId="0" fontId="14" fillId="0" borderId="33" xfId="0" applyFont="1" applyFill="1" applyBorder="1"/>
    <xf numFmtId="0" fontId="9" fillId="3" borderId="23" xfId="0" applyFont="1" applyFill="1" applyBorder="1"/>
    <xf numFmtId="1" fontId="10" fillId="0" borderId="23" xfId="0" applyNumberFormat="1" applyFont="1" applyFill="1" applyBorder="1"/>
    <xf numFmtId="1" fontId="9" fillId="0" borderId="34" xfId="0" applyNumberFormat="1" applyFont="1" applyFill="1" applyBorder="1"/>
    <xf numFmtId="0" fontId="9" fillId="3" borderId="20" xfId="0" applyFont="1" applyFill="1" applyBorder="1"/>
    <xf numFmtId="0" fontId="9" fillId="0" borderId="21" xfId="0" applyFont="1" applyFill="1" applyBorder="1"/>
    <xf numFmtId="0" fontId="0" fillId="0" borderId="6" xfId="0" applyBorder="1"/>
    <xf numFmtId="0" fontId="5" fillId="3" borderId="35" xfId="0" applyFont="1" applyFill="1" applyBorder="1" applyAlignment="1"/>
    <xf numFmtId="1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/>
      <protection hidden="1"/>
    </xf>
    <xf numFmtId="2" fontId="5" fillId="5" borderId="4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166" fontId="5" fillId="5" borderId="4" xfId="0" applyNumberFormat="1" applyFont="1" applyFill="1" applyBorder="1" applyAlignment="1">
      <alignment horizontal="center" vertical="center"/>
    </xf>
    <xf numFmtId="0" fontId="0" fillId="5" borderId="36" xfId="0" applyFill="1" applyBorder="1"/>
    <xf numFmtId="0" fontId="0" fillId="5" borderId="36" xfId="0" applyFill="1" applyBorder="1" applyAlignment="1">
      <alignment horizontal="center"/>
    </xf>
    <xf numFmtId="43" fontId="0" fillId="5" borderId="36" xfId="0" applyNumberFormat="1" applyFill="1" applyBorder="1"/>
    <xf numFmtId="0" fontId="5" fillId="0" borderId="21" xfId="0" applyFont="1" applyBorder="1" applyAlignment="1">
      <alignment horizontal="center"/>
    </xf>
    <xf numFmtId="43" fontId="3" fillId="0" borderId="36" xfId="1" applyFont="1" applyBorder="1"/>
    <xf numFmtId="43" fontId="5" fillId="0" borderId="36" xfId="1" applyFont="1" applyBorder="1"/>
    <xf numFmtId="49" fontId="14" fillId="0" borderId="36" xfId="1" applyNumberFormat="1" applyFont="1" applyBorder="1" applyAlignment="1"/>
    <xf numFmtId="43" fontId="3" fillId="0" borderId="37" xfId="1" applyFont="1" applyBorder="1"/>
    <xf numFmtId="0" fontId="0" fillId="0" borderId="38" xfId="0" applyBorder="1"/>
    <xf numFmtId="43" fontId="3" fillId="0" borderId="29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0" fillId="0" borderId="39" xfId="0" applyBorder="1"/>
    <xf numFmtId="43" fontId="3" fillId="0" borderId="30" xfId="1" applyFont="1" applyBorder="1"/>
    <xf numFmtId="0" fontId="5" fillId="2" borderId="3" xfId="0" applyFont="1" applyFill="1" applyBorder="1"/>
    <xf numFmtId="0" fontId="0" fillId="2" borderId="3" xfId="0" applyFill="1" applyBorder="1"/>
    <xf numFmtId="1" fontId="5" fillId="7" borderId="38" xfId="0" applyNumberFormat="1" applyFont="1" applyFill="1" applyBorder="1" applyAlignment="1" applyProtection="1">
      <alignment horizontal="center" vertical="center"/>
      <protection locked="0"/>
    </xf>
    <xf numFmtId="0" fontId="0" fillId="13" borderId="18" xfId="0" applyFill="1" applyBorder="1" applyAlignment="1">
      <alignment horizontal="center"/>
    </xf>
    <xf numFmtId="0" fontId="0" fillId="0" borderId="0" xfId="0"/>
    <xf numFmtId="0" fontId="0" fillId="0" borderId="40" xfId="0" applyBorder="1"/>
    <xf numFmtId="0" fontId="0" fillId="0" borderId="41" xfId="0" applyBorder="1"/>
    <xf numFmtId="0" fontId="0" fillId="0" borderId="1" xfId="0" applyBorder="1"/>
    <xf numFmtId="0" fontId="0" fillId="0" borderId="2" xfId="0" applyBorder="1"/>
    <xf numFmtId="0" fontId="0" fillId="0" borderId="42" xfId="0" applyBorder="1"/>
    <xf numFmtId="0" fontId="9" fillId="0" borderId="2" xfId="0" applyFont="1" applyFill="1" applyBorder="1"/>
    <xf numFmtId="0" fontId="11" fillId="0" borderId="2" xfId="0" applyFont="1" applyFill="1" applyBorder="1"/>
    <xf numFmtId="165" fontId="4" fillId="0" borderId="43" xfId="0" applyNumberFormat="1" applyFont="1" applyFill="1" applyBorder="1"/>
    <xf numFmtId="0" fontId="9" fillId="0" borderId="7" xfId="0" applyFont="1" applyFill="1" applyBorder="1"/>
    <xf numFmtId="0" fontId="11" fillId="0" borderId="13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0" fontId="9" fillId="0" borderId="44" xfId="0" applyFont="1" applyFill="1" applyBorder="1"/>
    <xf numFmtId="0" fontId="9" fillId="0" borderId="43" xfId="0" applyFont="1" applyFill="1" applyBorder="1" applyAlignment="1">
      <alignment wrapText="1"/>
    </xf>
    <xf numFmtId="0" fontId="15" fillId="0" borderId="4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4" fillId="0" borderId="31" xfId="0" applyNumberFormat="1" applyFont="1" applyFill="1" applyBorder="1" applyProtection="1"/>
    <xf numFmtId="1" fontId="10" fillId="0" borderId="7" xfId="0" applyNumberFormat="1" applyFont="1" applyFill="1" applyBorder="1"/>
    <xf numFmtId="0" fontId="10" fillId="0" borderId="4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wrapText="1"/>
    </xf>
    <xf numFmtId="1" fontId="10" fillId="0" borderId="43" xfId="0" applyNumberFormat="1" applyFont="1" applyFill="1" applyBorder="1" applyAlignment="1">
      <alignment wrapText="1"/>
    </xf>
    <xf numFmtId="0" fontId="14" fillId="0" borderId="45" xfId="0" applyFont="1" applyFill="1" applyBorder="1"/>
    <xf numFmtId="0" fontId="9" fillId="10" borderId="7" xfId="0" applyFont="1" applyFill="1" applyBorder="1"/>
    <xf numFmtId="0" fontId="9" fillId="10" borderId="3" xfId="0" applyFont="1" applyFill="1" applyBorder="1" applyAlignment="1">
      <alignment wrapText="1"/>
    </xf>
    <xf numFmtId="0" fontId="9" fillId="10" borderId="46" xfId="0" applyFont="1" applyFill="1" applyBorder="1" applyAlignment="1">
      <alignment wrapText="1"/>
    </xf>
    <xf numFmtId="0" fontId="14" fillId="10" borderId="33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wrapText="1"/>
    </xf>
    <xf numFmtId="0" fontId="9" fillId="10" borderId="2" xfId="0" applyFont="1" applyFill="1" applyBorder="1"/>
    <xf numFmtId="0" fontId="14" fillId="10" borderId="41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Protection="1"/>
    <xf numFmtId="0" fontId="7" fillId="0" borderId="0" xfId="0" applyFont="1" applyBorder="1" applyProtection="1"/>
    <xf numFmtId="0" fontId="0" fillId="0" borderId="7" xfId="0" applyBorder="1"/>
    <xf numFmtId="0" fontId="0" fillId="14" borderId="0" xfId="0" applyFill="1"/>
    <xf numFmtId="166" fontId="4" fillId="3" borderId="2" xfId="0" applyNumberFormat="1" applyFont="1" applyFill="1" applyBorder="1" applyAlignment="1">
      <alignment horizontal="center" vertical="center"/>
    </xf>
    <xf numFmtId="0" fontId="0" fillId="0" borderId="0" xfId="0" applyProtection="1"/>
    <xf numFmtId="43" fontId="3" fillId="0" borderId="0" xfId="1" applyFont="1" applyProtection="1"/>
    <xf numFmtId="0" fontId="0" fillId="0" borderId="0" xfId="0" applyBorder="1" applyProtection="1"/>
    <xf numFmtId="43" fontId="3" fillId="0" borderId="0" xfId="1" applyFont="1" applyBorder="1" applyAlignment="1" applyProtection="1">
      <alignment horizontal="right"/>
    </xf>
    <xf numFmtId="43" fontId="16" fillId="0" borderId="0" xfId="1" applyFont="1" applyBorder="1"/>
    <xf numFmtId="43" fontId="16" fillId="0" borderId="0" xfId="1" applyFont="1"/>
    <xf numFmtId="1" fontId="4" fillId="0" borderId="7" xfId="0" applyNumberFormat="1" applyFont="1" applyBorder="1" applyAlignment="1">
      <alignment horizontal="center" vertical="center"/>
    </xf>
    <xf numFmtId="0" fontId="9" fillId="0" borderId="46" xfId="0" applyFont="1" applyBorder="1"/>
    <xf numFmtId="1" fontId="4" fillId="0" borderId="5" xfId="0" applyNumberFormat="1" applyFont="1" applyBorder="1" applyAlignment="1">
      <alignment horizontal="center" vertical="center"/>
    </xf>
    <xf numFmtId="0" fontId="0" fillId="0" borderId="47" xfId="0" applyBorder="1"/>
    <xf numFmtId="1" fontId="4" fillId="0" borderId="4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4" fillId="3" borderId="31" xfId="0" applyNumberFormat="1" applyFont="1" applyFill="1" applyBorder="1" applyAlignment="1">
      <alignment horizontal="center" vertical="center"/>
    </xf>
    <xf numFmtId="166" fontId="4" fillId="14" borderId="0" xfId="0" applyNumberFormat="1" applyFont="1" applyFill="1" applyBorder="1" applyAlignment="1">
      <alignment horizontal="center" vertical="center"/>
    </xf>
    <xf numFmtId="0" fontId="0" fillId="14" borderId="0" xfId="0" applyFill="1" applyBorder="1"/>
    <xf numFmtId="166" fontId="16" fillId="0" borderId="0" xfId="0" applyNumberFormat="1" applyFont="1"/>
    <xf numFmtId="0" fontId="9" fillId="0" borderId="0" xfId="0" applyFont="1" applyProtection="1"/>
    <xf numFmtId="0" fontId="9" fillId="0" borderId="0" xfId="0" applyFont="1" applyBorder="1" applyAlignment="1" applyProtection="1">
      <alignment horizontal="center"/>
    </xf>
    <xf numFmtId="43" fontId="15" fillId="0" borderId="0" xfId="1" applyFont="1" applyFill="1" applyBorder="1" applyAlignment="1" applyProtection="1">
      <alignment horizontal="right"/>
    </xf>
    <xf numFmtId="43" fontId="17" fillId="0" borderId="2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30" xfId="0" applyFont="1" applyBorder="1" applyAlignment="1" applyProtection="1"/>
    <xf numFmtId="0" fontId="19" fillId="0" borderId="29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43" fontId="20" fillId="0" borderId="4" xfId="1" applyFont="1" applyBorder="1" applyAlignment="1" applyProtection="1">
      <alignment horizontal="right" vertical="center"/>
    </xf>
    <xf numFmtId="43" fontId="20" fillId="0" borderId="4" xfId="1" applyFont="1" applyBorder="1" applyAlignment="1" applyProtection="1">
      <alignment horizontal="center" vertical="center"/>
    </xf>
    <xf numFmtId="0" fontId="0" fillId="0" borderId="4" xfId="0" applyBorder="1" applyProtection="1"/>
    <xf numFmtId="0" fontId="18" fillId="0" borderId="48" xfId="0" applyFont="1" applyBorder="1" applyAlignment="1" applyProtection="1"/>
    <xf numFmtId="164" fontId="9" fillId="0" borderId="30" xfId="1" applyNumberFormat="1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center" vertical="center"/>
    </xf>
    <xf numFmtId="164" fontId="9" fillId="0" borderId="49" xfId="1" applyNumberFormat="1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167" fontId="9" fillId="0" borderId="5" xfId="1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164" fontId="9" fillId="0" borderId="4" xfId="1" applyNumberFormat="1" applyFont="1" applyBorder="1" applyAlignment="1" applyProtection="1">
      <alignment horizontal="center" vertical="center"/>
    </xf>
    <xf numFmtId="0" fontId="0" fillId="0" borderId="50" xfId="0" applyBorder="1" applyProtection="1"/>
    <xf numFmtId="0" fontId="0" fillId="0" borderId="0" xfId="0" applyAlignment="1" applyProtection="1">
      <alignment horizontal="left" vertical="center"/>
    </xf>
    <xf numFmtId="0" fontId="14" fillId="0" borderId="51" xfId="0" applyFont="1" applyFill="1" applyBorder="1" applyProtection="1"/>
    <xf numFmtId="0" fontId="9" fillId="0" borderId="20" xfId="0" applyFont="1" applyFill="1" applyBorder="1" applyProtection="1"/>
    <xf numFmtId="1" fontId="10" fillId="0" borderId="20" xfId="0" applyNumberFormat="1" applyFont="1" applyFill="1" applyBorder="1" applyProtection="1"/>
    <xf numFmtId="1" fontId="9" fillId="0" borderId="21" xfId="0" applyNumberFormat="1" applyFont="1" applyFill="1" applyBorder="1" applyProtection="1"/>
    <xf numFmtId="43" fontId="22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15" borderId="20" xfId="0" applyFill="1" applyBorder="1" applyProtection="1">
      <protection locked="0"/>
    </xf>
    <xf numFmtId="168" fontId="0" fillId="10" borderId="52" xfId="0" applyNumberFormat="1" applyFont="1" applyFill="1" applyBorder="1"/>
    <xf numFmtId="168" fontId="0" fillId="10" borderId="1" xfId="0" applyNumberFormat="1" applyFont="1" applyFill="1" applyBorder="1"/>
    <xf numFmtId="0" fontId="8" fillId="14" borderId="0" xfId="0" applyFont="1" applyFill="1" applyBorder="1" applyAlignment="1" applyProtection="1">
      <alignment vertical="center"/>
    </xf>
    <xf numFmtId="49" fontId="8" fillId="14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1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/>
    </xf>
    <xf numFmtId="0" fontId="18" fillId="0" borderId="0" xfId="0" applyFont="1" applyFill="1" applyBorder="1" applyProtection="1"/>
    <xf numFmtId="1" fontId="1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68" fontId="19" fillId="10" borderId="3" xfId="0" applyNumberFormat="1" applyFont="1" applyFill="1" applyBorder="1" applyProtection="1"/>
    <xf numFmtId="168" fontId="19" fillId="10" borderId="31" xfId="0" applyNumberFormat="1" applyFont="1" applyFill="1" applyBorder="1" applyProtection="1"/>
    <xf numFmtId="168" fontId="19" fillId="0" borderId="7" xfId="0" applyNumberFormat="1" applyFont="1" applyFill="1" applyBorder="1" applyProtection="1"/>
    <xf numFmtId="168" fontId="19" fillId="0" borderId="18" xfId="0" applyNumberFormat="1" applyFont="1" applyFill="1" applyBorder="1" applyProtection="1"/>
    <xf numFmtId="168" fontId="19" fillId="0" borderId="5" xfId="0" applyNumberFormat="1" applyFont="1" applyFill="1" applyBorder="1" applyProtection="1"/>
    <xf numFmtId="168" fontId="4" fillId="10" borderId="46" xfId="0" applyNumberFormat="1" applyFont="1" applyFill="1" applyBorder="1"/>
    <xf numFmtId="2" fontId="4" fillId="0" borderId="7" xfId="0" applyNumberFormat="1" applyFont="1" applyFill="1" applyBorder="1"/>
    <xf numFmtId="1" fontId="10" fillId="0" borderId="46" xfId="0" applyNumberFormat="1" applyFont="1" applyFill="1" applyBorder="1" applyAlignment="1">
      <alignment horizontal="right" wrapText="1"/>
    </xf>
    <xf numFmtId="1" fontId="10" fillId="0" borderId="3" xfId="0" applyNumberFormat="1" applyFont="1" applyFill="1" applyBorder="1" applyAlignment="1">
      <alignment wrapText="1"/>
    </xf>
    <xf numFmtId="1" fontId="0" fillId="8" borderId="4" xfId="0" applyNumberFormat="1" applyFill="1" applyBorder="1" applyAlignment="1" applyProtection="1">
      <alignment horizontal="center" vertical="center"/>
    </xf>
    <xf numFmtId="0" fontId="0" fillId="0" borderId="53" xfId="0" applyBorder="1" applyProtection="1"/>
    <xf numFmtId="0" fontId="18" fillId="0" borderId="54" xfId="0" applyFont="1" applyBorder="1" applyAlignment="1" applyProtection="1"/>
    <xf numFmtId="0" fontId="0" fillId="0" borderId="35" xfId="0" applyBorder="1" applyProtection="1"/>
    <xf numFmtId="0" fontId="18" fillId="0" borderId="5" xfId="0" applyFont="1" applyBorder="1" applyAlignment="1" applyProtection="1"/>
    <xf numFmtId="1" fontId="7" fillId="3" borderId="3" xfId="0" applyNumberFormat="1" applyFont="1" applyFill="1" applyBorder="1" applyProtection="1"/>
    <xf numFmtId="2" fontId="7" fillId="3" borderId="3" xfId="0" applyNumberFormat="1" applyFont="1" applyFill="1" applyBorder="1" applyProtection="1"/>
    <xf numFmtId="1" fontId="7" fillId="8" borderId="7" xfId="0" applyNumberFormat="1" applyFont="1" applyFill="1" applyBorder="1" applyProtection="1"/>
    <xf numFmtId="2" fontId="7" fillId="8" borderId="7" xfId="0" applyNumberFormat="1" applyFont="1" applyFill="1" applyBorder="1" applyProtection="1"/>
    <xf numFmtId="1" fontId="0" fillId="3" borderId="4" xfId="0" applyNumberFormat="1" applyFill="1" applyBorder="1" applyAlignment="1" applyProtection="1">
      <alignment horizontal="center" vertical="center"/>
    </xf>
    <xf numFmtId="0" fontId="13" fillId="0" borderId="0" xfId="0" applyFont="1"/>
    <xf numFmtId="0" fontId="8" fillId="14" borderId="0" xfId="0" applyFont="1" applyFill="1" applyBorder="1" applyAlignment="1">
      <alignment horizontal="center" vertical="center"/>
    </xf>
    <xf numFmtId="1" fontId="0" fillId="14" borderId="0" xfId="0" applyNumberFormat="1" applyFill="1" applyBorder="1" applyAlignment="1">
      <alignment horizontal="center" vertical="center"/>
    </xf>
    <xf numFmtId="0" fontId="0" fillId="14" borderId="0" xfId="0" applyFill="1" applyBorder="1" applyAlignment="1">
      <alignment horizontal="right"/>
    </xf>
    <xf numFmtId="0" fontId="9" fillId="10" borderId="7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5" borderId="20" xfId="0" applyFont="1" applyFill="1" applyBorder="1" applyProtection="1"/>
    <xf numFmtId="0" fontId="9" fillId="9" borderId="7" xfId="0" applyFont="1" applyFill="1" applyBorder="1"/>
    <xf numFmtId="0" fontId="9" fillId="9" borderId="2" xfId="0" applyFont="1" applyFill="1" applyBorder="1"/>
    <xf numFmtId="0" fontId="9" fillId="9" borderId="3" xfId="0" applyFont="1" applyFill="1" applyBorder="1"/>
    <xf numFmtId="0" fontId="2" fillId="10" borderId="20" xfId="0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wrapText="1"/>
    </xf>
    <xf numFmtId="0" fontId="0" fillId="0" borderId="3" xfId="0" applyBorder="1" applyProtection="1">
      <protection locked="0"/>
    </xf>
    <xf numFmtId="0" fontId="0" fillId="0" borderId="35" xfId="0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55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56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9" borderId="57" xfId="0" applyFill="1" applyBorder="1" applyProtection="1">
      <protection locked="0"/>
    </xf>
    <xf numFmtId="0" fontId="0" fillId="9" borderId="58" xfId="0" applyFill="1" applyBorder="1" applyProtection="1">
      <protection locked="0"/>
    </xf>
    <xf numFmtId="0" fontId="0" fillId="9" borderId="59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15" borderId="20" xfId="0" applyFill="1" applyBorder="1" applyProtection="1">
      <protection locked="0"/>
    </xf>
    <xf numFmtId="0" fontId="0" fillId="15" borderId="60" xfId="0" applyFill="1" applyBorder="1" applyProtection="1">
      <protection locked="0"/>
    </xf>
    <xf numFmtId="166" fontId="4" fillId="3" borderId="55" xfId="0" applyNumberFormat="1" applyFont="1" applyFill="1" applyBorder="1" applyAlignment="1">
      <alignment horizontal="center" vertical="center"/>
    </xf>
    <xf numFmtId="166" fontId="4" fillId="3" borderId="61" xfId="0" applyNumberFormat="1" applyFont="1" applyFill="1" applyBorder="1" applyAlignment="1">
      <alignment horizontal="center" vertical="center"/>
    </xf>
    <xf numFmtId="166" fontId="4" fillId="3" borderId="62" xfId="0" applyNumberFormat="1" applyFont="1" applyFill="1" applyBorder="1" applyAlignment="1">
      <alignment horizontal="center" vertical="center"/>
    </xf>
    <xf numFmtId="166" fontId="4" fillId="3" borderId="63" xfId="0" applyNumberFormat="1" applyFont="1" applyFill="1" applyBorder="1" applyAlignment="1">
      <alignment horizontal="center" vertical="center"/>
    </xf>
    <xf numFmtId="166" fontId="4" fillId="16" borderId="7" xfId="0" applyNumberFormat="1" applyFont="1" applyFill="1" applyBorder="1" applyAlignment="1">
      <alignment horizontal="center" vertical="center"/>
    </xf>
    <xf numFmtId="166" fontId="4" fillId="16" borderId="3" xfId="0" applyNumberFormat="1" applyFont="1" applyFill="1" applyBorder="1" applyAlignment="1">
      <alignment horizontal="center" vertical="center"/>
    </xf>
    <xf numFmtId="166" fontId="4" fillId="16" borderId="31" xfId="0" applyNumberFormat="1" applyFont="1" applyFill="1" applyBorder="1" applyAlignment="1">
      <alignment horizontal="center" vertical="center"/>
    </xf>
    <xf numFmtId="166" fontId="4" fillId="16" borderId="2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4" borderId="55" xfId="0" applyNumberFormat="1" applyFont="1" applyFill="1" applyBorder="1" applyAlignment="1">
      <alignment horizontal="center" vertical="center"/>
    </xf>
    <xf numFmtId="166" fontId="4" fillId="4" borderId="61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2" fillId="14" borderId="6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8" fillId="0" borderId="67" xfId="0" applyFont="1" applyBorder="1" applyAlignment="1">
      <alignment horizontal="right" vertical="center" indent="1"/>
    </xf>
    <xf numFmtId="0" fontId="8" fillId="0" borderId="68" xfId="0" applyFont="1" applyBorder="1" applyAlignment="1">
      <alignment horizontal="right" vertical="center" indent="1"/>
    </xf>
    <xf numFmtId="43" fontId="8" fillId="0" borderId="18" xfId="1" applyFont="1" applyBorder="1" applyAlignment="1">
      <alignment horizontal="right" vertical="center" indent="1"/>
    </xf>
    <xf numFmtId="43" fontId="8" fillId="0" borderId="3" xfId="1" applyFont="1" applyBorder="1" applyAlignment="1">
      <alignment horizontal="right" vertical="center" indent="1"/>
    </xf>
    <xf numFmtId="43" fontId="8" fillId="0" borderId="69" xfId="1" applyFont="1" applyBorder="1" applyAlignment="1">
      <alignment horizontal="right" vertical="center" indent="1"/>
    </xf>
    <xf numFmtId="43" fontId="8" fillId="0" borderId="53" xfId="1" applyFont="1" applyBorder="1" applyAlignment="1">
      <alignment horizontal="right" vertical="center" indent="1"/>
    </xf>
    <xf numFmtId="43" fontId="5" fillId="0" borderId="54" xfId="1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8" fillId="0" borderId="54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0" fontId="8" fillId="0" borderId="70" xfId="0" applyFont="1" applyBorder="1" applyAlignment="1">
      <alignment horizontal="right" vertical="center" indent="1"/>
    </xf>
    <xf numFmtId="0" fontId="8" fillId="0" borderId="71" xfId="0" applyFont="1" applyBorder="1" applyAlignment="1">
      <alignment horizontal="right" vertical="center" indent="1"/>
    </xf>
    <xf numFmtId="0" fontId="8" fillId="7" borderId="22" xfId="0" applyFont="1" applyFill="1" applyBorder="1" applyAlignment="1" applyProtection="1">
      <alignment horizontal="left" vertical="center"/>
      <protection locked="0"/>
    </xf>
    <xf numFmtId="0" fontId="8" fillId="7" borderId="24" xfId="0" applyFont="1" applyFill="1" applyBorder="1" applyAlignment="1" applyProtection="1">
      <alignment horizontal="left" vertical="center"/>
      <protection locked="0"/>
    </xf>
    <xf numFmtId="0" fontId="1" fillId="7" borderId="2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49" fontId="8" fillId="7" borderId="2" xfId="0" applyNumberFormat="1" applyFont="1" applyFill="1" applyBorder="1" applyAlignment="1" applyProtection="1">
      <alignment horizontal="left" vertical="center"/>
      <protection locked="0"/>
    </xf>
    <xf numFmtId="49" fontId="8" fillId="7" borderId="13" xfId="0" applyNumberFormat="1" applyFont="1" applyFill="1" applyBorder="1" applyAlignment="1" applyProtection="1">
      <alignment horizontal="left" vertical="center"/>
      <protection locked="0"/>
    </xf>
    <xf numFmtId="14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28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43" fontId="9" fillId="0" borderId="0" xfId="1" applyNumberFormat="1" applyFont="1" applyFill="1" applyBorder="1" applyAlignment="1" applyProtection="1">
      <alignment horizontal="center"/>
    </xf>
    <xf numFmtId="2" fontId="7" fillId="3" borderId="2" xfId="1" applyNumberFormat="1" applyFont="1" applyFill="1" applyBorder="1" applyAlignment="1" applyProtection="1">
      <alignment horizontal="center"/>
    </xf>
    <xf numFmtId="0" fontId="14" fillId="8" borderId="2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>
      <alignment horizontal="center"/>
    </xf>
    <xf numFmtId="2" fontId="7" fillId="8" borderId="2" xfId="0" applyNumberFormat="1" applyFont="1" applyFill="1" applyBorder="1" applyAlignment="1" applyProtection="1">
      <alignment horizontal="center"/>
    </xf>
    <xf numFmtId="0" fontId="7" fillId="8" borderId="3" xfId="0" applyFont="1" applyFill="1" applyBorder="1" applyAlignment="1" applyProtection="1">
      <alignment horizontal="center"/>
    </xf>
    <xf numFmtId="2" fontId="7" fillId="8" borderId="3" xfId="0" applyNumberFormat="1" applyFont="1" applyFill="1" applyBorder="1" applyAlignment="1" applyProtection="1">
      <alignment horizontal="center"/>
    </xf>
    <xf numFmtId="0" fontId="19" fillId="14" borderId="0" xfId="0" applyFont="1" applyFill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/>
    </xf>
    <xf numFmtId="0" fontId="18" fillId="0" borderId="54" xfId="0" applyFont="1" applyBorder="1" applyAlignment="1" applyProtection="1">
      <alignment horizontal="center"/>
    </xf>
    <xf numFmtId="0" fontId="18" fillId="0" borderId="35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166" fontId="4" fillId="0" borderId="4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2" fontId="7" fillId="8" borderId="2" xfId="1" applyNumberFormat="1" applyFont="1" applyFill="1" applyBorder="1" applyAlignment="1" applyProtection="1">
      <alignment horizontal="center" vertical="center"/>
    </xf>
    <xf numFmtId="2" fontId="0" fillId="8" borderId="2" xfId="0" applyNumberFormat="1" applyFill="1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9" fontId="3" fillId="0" borderId="3" xfId="1" applyNumberFormat="1" applyFont="1" applyBorder="1" applyAlignment="1" applyProtection="1">
      <alignment horizontal="center" vertical="center"/>
    </xf>
    <xf numFmtId="49" fontId="3" fillId="0" borderId="7" xfId="1" applyNumberFormat="1" applyFont="1" applyBorder="1" applyAlignment="1" applyProtection="1">
      <alignment horizontal="center" vertical="center"/>
    </xf>
    <xf numFmtId="43" fontId="8" fillId="14" borderId="0" xfId="1" applyFont="1" applyFill="1" applyBorder="1" applyAlignment="1" applyProtection="1">
      <alignment horizontal="center" vertical="center"/>
    </xf>
    <xf numFmtId="43" fontId="8" fillId="14" borderId="30" xfId="1" applyFont="1" applyFill="1" applyBorder="1" applyAlignment="1" applyProtection="1">
      <alignment horizontal="center" vertical="center"/>
    </xf>
    <xf numFmtId="0" fontId="14" fillId="10" borderId="53" xfId="0" applyFont="1" applyFill="1" applyBorder="1" applyAlignment="1" applyProtection="1">
      <alignment horizontal="center" vertical="center"/>
    </xf>
    <xf numFmtId="0" fontId="14" fillId="10" borderId="54" xfId="0" applyFont="1" applyFill="1" applyBorder="1" applyAlignment="1" applyProtection="1">
      <alignment horizontal="center" vertical="center"/>
    </xf>
    <xf numFmtId="167" fontId="14" fillId="7" borderId="3" xfId="1" applyNumberFormat="1" applyFont="1" applyFill="1" applyBorder="1" applyAlignment="1" applyProtection="1">
      <alignment horizontal="center" vertical="center"/>
      <protection locked="0"/>
    </xf>
    <xf numFmtId="167" fontId="14" fillId="7" borderId="31" xfId="1" applyNumberFormat="1" applyFont="1" applyFill="1" applyBorder="1" applyAlignment="1" applyProtection="1">
      <alignment horizontal="center" vertical="center"/>
      <protection locked="0"/>
    </xf>
    <xf numFmtId="167" fontId="14" fillId="7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/>
    </xf>
    <xf numFmtId="0" fontId="7" fillId="0" borderId="2" xfId="0" applyFont="1" applyBorder="1" applyAlignment="1" applyProtection="1">
      <alignment horizontal="right" indent="1"/>
    </xf>
    <xf numFmtId="0" fontId="22" fillId="14" borderId="0" xfId="0" applyFont="1" applyFill="1" applyAlignment="1" applyProtection="1">
      <alignment horizontal="center" vertical="center"/>
    </xf>
    <xf numFmtId="0" fontId="0" fillId="14" borderId="0" xfId="0" applyFill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43" fontId="3" fillId="14" borderId="76" xfId="1" applyFont="1" applyFill="1" applyBorder="1" applyAlignment="1" applyProtection="1">
      <alignment horizontal="right" vertical="center" indent="1"/>
    </xf>
    <xf numFmtId="43" fontId="3" fillId="14" borderId="0" xfId="1" applyFont="1" applyFill="1" applyBorder="1" applyAlignment="1" applyProtection="1">
      <alignment horizontal="right" vertical="center" indent="1"/>
    </xf>
    <xf numFmtId="43" fontId="3" fillId="14" borderId="30" xfId="1" applyFont="1" applyFill="1" applyBorder="1" applyAlignment="1" applyProtection="1">
      <alignment horizontal="right" vertical="center" indent="1"/>
    </xf>
    <xf numFmtId="0" fontId="4" fillId="14" borderId="3" xfId="0" applyFont="1" applyFill="1" applyBorder="1" applyAlignment="1" applyProtection="1">
      <alignment horizontal="center" vertical="center"/>
    </xf>
    <xf numFmtId="0" fontId="4" fillId="14" borderId="7" xfId="0" applyFont="1" applyFill="1" applyBorder="1" applyAlignment="1" applyProtection="1">
      <alignment horizontal="center" vertical="center"/>
    </xf>
    <xf numFmtId="1" fontId="0" fillId="14" borderId="76" xfId="0" applyNumberFormat="1" applyFill="1" applyBorder="1" applyAlignment="1" applyProtection="1">
      <alignment horizontal="center" vertical="center"/>
    </xf>
    <xf numFmtId="1" fontId="0" fillId="14" borderId="30" xfId="0" applyNumberFormat="1" applyFill="1" applyBorder="1" applyAlignment="1" applyProtection="1">
      <alignment horizontal="center" vertical="center"/>
    </xf>
    <xf numFmtId="168" fontId="7" fillId="0" borderId="76" xfId="1" applyNumberFormat="1" applyFont="1" applyBorder="1" applyAlignment="1" applyProtection="1">
      <alignment horizontal="center" vertical="center"/>
    </xf>
    <xf numFmtId="168" fontId="7" fillId="0" borderId="30" xfId="1" applyNumberFormat="1" applyFont="1" applyBorder="1" applyAlignment="1" applyProtection="1">
      <alignment horizontal="center" vertical="center"/>
    </xf>
    <xf numFmtId="167" fontId="3" fillId="14" borderId="35" xfId="1" applyNumberFormat="1" applyFont="1" applyFill="1" applyBorder="1" applyAlignment="1" applyProtection="1">
      <alignment horizontal="center" vertical="center"/>
    </xf>
    <xf numFmtId="167" fontId="3" fillId="14" borderId="5" xfId="1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8" fillId="0" borderId="48" xfId="0" applyFont="1" applyBorder="1" applyAlignment="1" applyProtection="1">
      <alignment horizontal="center"/>
    </xf>
    <xf numFmtId="0" fontId="18" fillId="0" borderId="36" xfId="0" applyFont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 vertical="center"/>
    </xf>
    <xf numFmtId="0" fontId="14" fillId="10" borderId="7" xfId="0" applyFont="1" applyFill="1" applyBorder="1" applyAlignment="1" applyProtection="1">
      <alignment horizontal="center" vertical="center"/>
    </xf>
    <xf numFmtId="0" fontId="0" fillId="17" borderId="0" xfId="0" applyFill="1" applyAlignment="1">
      <alignment horizontal="right" indent="1"/>
    </xf>
    <xf numFmtId="0" fontId="0" fillId="17" borderId="0" xfId="0" applyFill="1" applyBorder="1" applyAlignment="1">
      <alignment horizontal="right" indent="1"/>
    </xf>
    <xf numFmtId="43" fontId="23" fillId="0" borderId="53" xfId="1" applyFont="1" applyBorder="1" applyAlignment="1" applyProtection="1">
      <alignment horizontal="right" vertical="center" indent="1"/>
    </xf>
    <xf numFmtId="43" fontId="23" fillId="0" borderId="54" xfId="1" applyFont="1" applyBorder="1" applyAlignment="1" applyProtection="1">
      <alignment horizontal="right" vertical="center" indent="1"/>
    </xf>
    <xf numFmtId="43" fontId="23" fillId="0" borderId="76" xfId="1" applyFont="1" applyBorder="1" applyAlignment="1" applyProtection="1">
      <alignment horizontal="right" vertical="center" indent="1"/>
    </xf>
    <xf numFmtId="43" fontId="23" fillId="0" borderId="30" xfId="1" applyFont="1" applyBorder="1" applyAlignment="1" applyProtection="1">
      <alignment horizontal="right" vertical="center" indent="1"/>
    </xf>
    <xf numFmtId="43" fontId="23" fillId="0" borderId="35" xfId="1" applyFont="1" applyBorder="1" applyAlignment="1" applyProtection="1">
      <alignment horizontal="right" vertical="center" indent="1"/>
    </xf>
    <xf numFmtId="43" fontId="23" fillId="0" borderId="5" xfId="1" applyFont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right" indent="1"/>
    </xf>
    <xf numFmtId="43" fontId="3" fillId="0" borderId="2" xfId="1" applyFont="1" applyBorder="1" applyAlignment="1" applyProtection="1">
      <alignment horizontal="right" indent="1"/>
    </xf>
    <xf numFmtId="43" fontId="3" fillId="0" borderId="2" xfId="1" applyNumberFormat="1" applyFont="1" applyFill="1" applyBorder="1" applyAlignment="1" applyProtection="1">
      <alignment horizontal="right" indent="1"/>
    </xf>
    <xf numFmtId="0" fontId="4" fillId="14" borderId="0" xfId="0" applyFont="1" applyFill="1" applyAlignment="1">
      <alignment horizontal="center" vertical="center"/>
    </xf>
    <xf numFmtId="43" fontId="23" fillId="0" borderId="73" xfId="1" applyFont="1" applyFill="1" applyBorder="1" applyAlignment="1">
      <alignment horizontal="center" vertical="center"/>
    </xf>
    <xf numFmtId="43" fontId="23" fillId="0" borderId="75" xfId="1" applyFont="1" applyFill="1" applyBorder="1" applyAlignment="1">
      <alignment horizontal="center" vertical="center"/>
    </xf>
    <xf numFmtId="43" fontId="23" fillId="14" borderId="5" xfId="1" applyFont="1" applyFill="1" applyBorder="1" applyAlignment="1">
      <alignment horizontal="center" vertical="center"/>
    </xf>
    <xf numFmtId="43" fontId="23" fillId="14" borderId="74" xfId="1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35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 indent="1"/>
    </xf>
    <xf numFmtId="0" fontId="4" fillId="0" borderId="74" xfId="0" applyFont="1" applyBorder="1" applyAlignment="1">
      <alignment horizontal="right" vertical="center" indent="1"/>
    </xf>
    <xf numFmtId="0" fontId="0" fillId="0" borderId="72" xfId="0" applyBorder="1" applyAlignment="1">
      <alignment horizontal="center"/>
    </xf>
    <xf numFmtId="0" fontId="0" fillId="0" borderId="51" xfId="0" applyBorder="1" applyAlignment="1">
      <alignment horizontal="center"/>
    </xf>
    <xf numFmtId="166" fontId="4" fillId="0" borderId="73" xfId="0" applyNumberFormat="1" applyFont="1" applyBorder="1" applyAlignment="1">
      <alignment horizontal="center"/>
    </xf>
    <xf numFmtId="43" fontId="23" fillId="0" borderId="4" xfId="1" applyFont="1" applyBorder="1" applyAlignment="1">
      <alignment horizontal="right" vertical="center" indent="1"/>
    </xf>
    <xf numFmtId="43" fontId="23" fillId="0" borderId="74" xfId="1" applyFont="1" applyBorder="1" applyAlignment="1">
      <alignment horizontal="right" vertical="center" indent="1"/>
    </xf>
    <xf numFmtId="43" fontId="23" fillId="0" borderId="2" xfId="1" applyFont="1" applyBorder="1" applyAlignment="1">
      <alignment horizontal="right" vertical="center" indent="1"/>
    </xf>
    <xf numFmtId="43" fontId="23" fillId="0" borderId="46" xfId="1" applyFont="1" applyBorder="1" applyAlignment="1">
      <alignment horizontal="right" vertical="center" indent="1"/>
    </xf>
    <xf numFmtId="43" fontId="23" fillId="0" borderId="73" xfId="1" applyFont="1" applyBorder="1" applyAlignment="1">
      <alignment horizontal="right" vertical="center" indent="1"/>
    </xf>
    <xf numFmtId="43" fontId="23" fillId="0" borderId="75" xfId="1" applyFont="1" applyBorder="1" applyAlignment="1">
      <alignment horizontal="right" vertical="center" indent="1"/>
    </xf>
  </cellXfs>
  <cellStyles count="2">
    <cellStyle name="Dezimal" xfId="1" builtinId="3"/>
    <cellStyle name="Standard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/>
      <c:barChart>
        <c:barDir val="col"/>
        <c:grouping val="clustered"/>
        <c:ser>
          <c:idx val="0"/>
          <c:order val="0"/>
          <c:tx>
            <c:v>Ergebnis in %</c:v>
          </c:tx>
          <c:cat>
            <c:strRef>
              <c:f>Beurteilungsblatt!$AF$8:$AJ$8</c:f>
              <c:strCache>
                <c:ptCount val="5"/>
                <c:pt idx="0">
                  <c:v>Lesen</c:v>
                </c:pt>
                <c:pt idx="1">
                  <c:v>Hören </c:v>
                </c:pt>
                <c:pt idx="2">
                  <c:v>SiK</c:v>
                </c:pt>
                <c:pt idx="3">
                  <c:v>Schreiben 1</c:v>
                </c:pt>
                <c:pt idx="4">
                  <c:v>Schreiben 2</c:v>
                </c:pt>
              </c:strCache>
            </c:strRef>
          </c:cat>
          <c:val>
            <c:numRef>
              <c:f>Beurteilungsblatt!$E$50:$I$50</c:f>
              <c:numCache>
                <c:formatCode>0.0</c:formatCode>
                <c:ptCount val="5"/>
                <c:pt idx="0">
                  <c:v>75.520833333333343</c:v>
                </c:pt>
                <c:pt idx="1">
                  <c:v>65.625</c:v>
                </c:pt>
                <c:pt idx="2">
                  <c:v>78.666666666666671</c:v>
                </c:pt>
                <c:pt idx="3">
                  <c:v>77.916666666666671</c:v>
                </c:pt>
                <c:pt idx="4">
                  <c:v>0</c:v>
                </c:pt>
              </c:numCache>
            </c:numRef>
          </c:val>
        </c:ser>
        <c:axId val="63924096"/>
        <c:axId val="63925632"/>
      </c:barChart>
      <c:catAx>
        <c:axId val="639240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de-DE"/>
            </a:pPr>
            <a:endParaRPr lang="de-DE"/>
          </a:p>
        </c:txPr>
        <c:crossAx val="63925632"/>
        <c:crosses val="autoZero"/>
        <c:auto val="1"/>
        <c:lblAlgn val="ctr"/>
        <c:lblOffset val="100"/>
      </c:catAx>
      <c:valAx>
        <c:axId val="6392563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de-DE" sz="800"/>
            </a:pPr>
            <a:endParaRPr lang="de-DE"/>
          </a:p>
        </c:txPr>
        <c:crossAx val="63924096"/>
        <c:crosses val="autoZero"/>
        <c:crossBetween val="between"/>
      </c:valAx>
    </c:plotArea>
    <c:plotVisOnly val="1"/>
    <c:dispBlanksAs val="gap"/>
  </c:chart>
  <c:spPr>
    <a:solidFill>
      <a:schemeClr val="bg1">
        <a:lumMod val="85000"/>
        <a:alpha val="22000"/>
      </a:schemeClr>
    </a:solidFill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61F973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B0EABE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9ACFF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F0BEBE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D27484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de-DE"/>
                </a:pPr>
                <a:endParaRPr lang="de-DE"/>
              </a:p>
            </c:txPr>
            <c:showPercent val="1"/>
            <c:showLeaderLines val="1"/>
          </c:dLbls>
          <c:cat>
            <c:strRef>
              <c:f>Beurteilungsblatt!$AF$9:$AJ$9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Befriedigend</c:v>
                </c:pt>
                <c:pt idx="3">
                  <c:v>Genügend</c:v>
                </c:pt>
                <c:pt idx="4">
                  <c:v>Nicht gen</c:v>
                </c:pt>
              </c:strCache>
            </c:strRef>
          </c:cat>
          <c:val>
            <c:numRef>
              <c:f>Beurteilungsblatt!$AD$20:$AD$24</c:f>
              <c:numCache>
                <c:formatCode>0.0</c:formatCode>
                <c:ptCount val="5"/>
                <c:pt idx="0">
                  <c:v>16.666666666666664</c:v>
                </c:pt>
                <c:pt idx="1">
                  <c:v>8.3333333333333321</c:v>
                </c:pt>
                <c:pt idx="2">
                  <c:v>33.333333333333329</c:v>
                </c:pt>
                <c:pt idx="3">
                  <c:v>33.333333333333329</c:v>
                </c:pt>
                <c:pt idx="4">
                  <c:v>8.3333333333333321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 rtl="0">
            <a:defRPr lang="de-DE"/>
          </a:pPr>
          <a:endParaRPr lang="de-DE"/>
        </a:p>
      </c:txPr>
    </c:legend>
    <c:plotVisOnly val="1"/>
    <c:dispBlanksAs val="zero"/>
  </c:chart>
  <c:spPr>
    <a:solidFill>
      <a:schemeClr val="bg1">
        <a:lumMod val="95000"/>
      </a:schemeClr>
    </a:solidFill>
    <a:ln>
      <a:solidFill>
        <a:schemeClr val="tx1"/>
      </a:solidFill>
    </a:ln>
  </c:sp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</xdr:colOff>
      <xdr:row>38</xdr:row>
      <xdr:rowOff>0</xdr:rowOff>
    </xdr:from>
    <xdr:to>
      <xdr:col>31</xdr:col>
      <xdr:colOff>0</xdr:colOff>
      <xdr:row>49</xdr:row>
      <xdr:rowOff>15240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472440</xdr:colOff>
      <xdr:row>27</xdr:row>
      <xdr:rowOff>15240</xdr:rowOff>
    </xdr:from>
    <xdr:to>
      <xdr:col>31</xdr:col>
      <xdr:colOff>7620</xdr:colOff>
      <xdr:row>36</xdr:row>
      <xdr:rowOff>22860</xdr:rowOff>
    </xdr:to>
    <xdr:graphicFrame macro="">
      <xdr:nvGraphicFramePr>
        <xdr:cNvPr id="307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33"/>
  <sheetViews>
    <sheetView showGridLines="0" showRowColHeaders="0" tabSelected="1" zoomScalePageLayoutView="150" workbookViewId="0">
      <selection activeCell="F2" sqref="F2:G2"/>
    </sheetView>
  </sheetViews>
  <sheetFormatPr baseColWidth="10" defaultRowHeight="15.6"/>
  <cols>
    <col min="2" max="2" width="21.09765625" customWidth="1"/>
    <col min="3" max="3" width="7.09765625" customWidth="1"/>
    <col min="4" max="6" width="8.8984375" customWidth="1"/>
    <col min="7" max="7" width="7.5" customWidth="1"/>
    <col min="8" max="10" width="0" hidden="1" customWidth="1"/>
    <col min="11" max="11" width="11" hidden="1" customWidth="1"/>
    <col min="12" max="12" width="8.3984375" customWidth="1"/>
    <col min="13" max="13" width="6.3984375" customWidth="1"/>
    <col min="14" max="14" width="16.8984375" customWidth="1"/>
    <col min="15" max="15" width="5.69921875" customWidth="1"/>
  </cols>
  <sheetData>
    <row r="1" spans="1:21" ht="37.5" customHeight="1" thickBot="1">
      <c r="B1" s="228"/>
      <c r="C1" s="228"/>
      <c r="D1" s="229"/>
      <c r="E1" s="229"/>
      <c r="F1" s="229"/>
      <c r="G1" s="229"/>
      <c r="H1" s="229"/>
      <c r="I1" s="229"/>
      <c r="J1" s="229"/>
      <c r="K1" s="229"/>
      <c r="L1" s="229"/>
    </row>
    <row r="2" spans="1:21" ht="18.75" customHeight="1">
      <c r="B2" s="307" t="s">
        <v>45</v>
      </c>
      <c r="C2" s="308"/>
      <c r="D2" s="314" t="s">
        <v>63</v>
      </c>
      <c r="E2" s="315"/>
      <c r="F2" s="332" t="s">
        <v>82</v>
      </c>
      <c r="G2" s="333"/>
      <c r="H2" s="233"/>
      <c r="I2" s="233"/>
      <c r="J2" s="233"/>
      <c r="K2" s="233"/>
      <c r="L2" s="233"/>
      <c r="M2" s="184"/>
      <c r="N2" s="186"/>
      <c r="O2" s="184"/>
      <c r="P2" s="184"/>
      <c r="Q2" s="184"/>
      <c r="R2" s="184"/>
      <c r="S2" s="184"/>
      <c r="T2" s="184"/>
      <c r="U2" s="184"/>
    </row>
    <row r="3" spans="1:21" ht="18.75" customHeight="1">
      <c r="B3" s="307"/>
      <c r="C3" s="308"/>
      <c r="D3" s="316" t="s">
        <v>13</v>
      </c>
      <c r="E3" s="317"/>
      <c r="F3" s="334" t="s">
        <v>95</v>
      </c>
      <c r="G3" s="335"/>
      <c r="H3" s="233"/>
      <c r="I3" s="233"/>
      <c r="J3" s="233"/>
      <c r="K3" s="233"/>
      <c r="L3" s="233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8.75" customHeight="1">
      <c r="B4" s="307"/>
      <c r="C4" s="308"/>
      <c r="D4" s="318" t="s">
        <v>64</v>
      </c>
      <c r="E4" s="319"/>
      <c r="F4" s="336">
        <v>2</v>
      </c>
      <c r="G4" s="337"/>
      <c r="H4" s="234"/>
      <c r="I4" s="234"/>
      <c r="J4" s="234"/>
      <c r="K4" s="234"/>
      <c r="L4" s="23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19.5" customHeight="1" thickBot="1">
      <c r="B5" s="307"/>
      <c r="C5" s="308"/>
      <c r="D5" s="330" t="s">
        <v>73</v>
      </c>
      <c r="E5" s="331"/>
      <c r="F5" s="338">
        <v>41697</v>
      </c>
      <c r="G5" s="339"/>
      <c r="H5" s="233"/>
      <c r="I5" s="233"/>
      <c r="J5" s="233"/>
      <c r="K5" s="233"/>
      <c r="L5" s="233"/>
      <c r="M5" s="184"/>
      <c r="N5" s="184"/>
      <c r="O5" s="186"/>
      <c r="P5" s="184"/>
      <c r="Q5" s="184"/>
      <c r="R5" s="184"/>
      <c r="S5" s="184"/>
      <c r="T5" s="184"/>
      <c r="U5" s="184"/>
    </row>
    <row r="6" spans="1:21" hidden="1">
      <c r="M6" s="184"/>
      <c r="N6" s="184"/>
      <c r="O6" s="184"/>
      <c r="P6" s="184"/>
      <c r="Q6" s="184"/>
      <c r="R6" s="184"/>
      <c r="S6" s="184"/>
      <c r="T6" s="184"/>
      <c r="U6" s="184"/>
    </row>
    <row r="7" spans="1:21" s="1" customFormat="1">
      <c r="B7" s="133"/>
      <c r="C7" s="133"/>
      <c r="D7" s="132"/>
      <c r="E7" s="134"/>
      <c r="F7" s="134"/>
      <c r="G7" s="132"/>
      <c r="H7" s="309" t="s">
        <v>28</v>
      </c>
      <c r="I7" s="310"/>
      <c r="J7" s="311"/>
      <c r="K7" s="132"/>
      <c r="L7" s="132"/>
      <c r="M7" s="185"/>
      <c r="N7" s="185"/>
      <c r="O7" s="185"/>
      <c r="P7" s="185"/>
      <c r="Q7" s="185"/>
      <c r="R7" s="185"/>
      <c r="S7" s="185"/>
      <c r="T7" s="185"/>
      <c r="U7" s="185"/>
    </row>
    <row r="8" spans="1:21" s="1" customFormat="1" ht="16.2" thickBot="1">
      <c r="A8" s="140"/>
      <c r="B8" s="320"/>
      <c r="C8" s="322" t="s">
        <v>49</v>
      </c>
      <c r="D8" s="324" t="s">
        <v>4</v>
      </c>
      <c r="E8" s="326" t="s">
        <v>43</v>
      </c>
      <c r="F8" s="312" t="s">
        <v>67</v>
      </c>
      <c r="G8" s="328" t="s">
        <v>50</v>
      </c>
      <c r="H8" s="138"/>
      <c r="I8" s="131"/>
      <c r="J8" s="131"/>
      <c r="K8" s="135"/>
      <c r="L8" s="137" t="s">
        <v>53</v>
      </c>
      <c r="M8" s="185"/>
      <c r="N8" s="108"/>
      <c r="O8" s="235"/>
      <c r="P8" s="185"/>
      <c r="Q8" s="108"/>
      <c r="R8" s="185"/>
      <c r="S8" s="185"/>
      <c r="T8" s="185"/>
      <c r="U8" s="185"/>
    </row>
    <row r="9" spans="1:21" ht="18.75" customHeight="1" thickBot="1">
      <c r="A9" s="111"/>
      <c r="B9" s="321"/>
      <c r="C9" s="323"/>
      <c r="D9" s="325"/>
      <c r="E9" s="327"/>
      <c r="F9" s="313"/>
      <c r="G9" s="329"/>
      <c r="H9" s="139"/>
      <c r="I9" s="121"/>
      <c r="J9" s="121"/>
      <c r="K9" s="136"/>
      <c r="L9" s="34">
        <v>150</v>
      </c>
      <c r="M9" s="236">
        <v>0</v>
      </c>
      <c r="N9" s="184"/>
      <c r="O9" s="237"/>
      <c r="P9" s="184"/>
      <c r="Q9" s="184"/>
      <c r="R9" s="184"/>
      <c r="S9" s="184"/>
      <c r="T9" s="184"/>
      <c r="U9" s="184"/>
    </row>
    <row r="10" spans="1:21" ht="16.2" thickBot="1">
      <c r="B10" s="122" t="s">
        <v>36</v>
      </c>
      <c r="C10" s="123">
        <v>1</v>
      </c>
      <c r="D10" s="124">
        <f>SUM(D11:D14)</f>
        <v>16</v>
      </c>
      <c r="E10" s="125">
        <f>IF(C10=1,E33/C33,0)</f>
        <v>50</v>
      </c>
      <c r="F10" s="126">
        <f>IF(AND(C10=1,E10&gt;0),E10/D10,0)</f>
        <v>3.125</v>
      </c>
      <c r="G10" s="127">
        <f>IF(E33&gt;0,E10/E$33*100,0)</f>
        <v>25</v>
      </c>
      <c r="H10" s="128"/>
      <c r="I10" s="129" t="s">
        <v>11</v>
      </c>
      <c r="J10" s="129" t="s">
        <v>44</v>
      </c>
      <c r="K10" s="130">
        <v>0.6</v>
      </c>
      <c r="L10" s="33">
        <f>IF(C10=1,ROUND(COUNTA(D11:D14)*45/4,0),0)</f>
        <v>23</v>
      </c>
      <c r="M10" s="236">
        <v>1</v>
      </c>
      <c r="N10" s="184"/>
      <c r="O10" s="184"/>
      <c r="P10" s="184"/>
      <c r="Q10" s="184"/>
      <c r="R10" s="184"/>
      <c r="S10" s="184"/>
      <c r="T10" s="184"/>
      <c r="U10" s="184"/>
    </row>
    <row r="11" spans="1:21">
      <c r="B11" s="5" t="s">
        <v>32</v>
      </c>
      <c r="C11" s="35">
        <v>7</v>
      </c>
      <c r="D11" s="44">
        <v>8</v>
      </c>
      <c r="E11" s="93">
        <f>D11*F$10</f>
        <v>25</v>
      </c>
      <c r="F11" s="93"/>
      <c r="G11" s="93">
        <f>IF(E$33&gt;0,E11/E$33*100,0)</f>
        <v>12.5</v>
      </c>
      <c r="H11" s="4"/>
      <c r="I11" s="11">
        <v>1</v>
      </c>
      <c r="J11" s="11"/>
      <c r="K11" s="94">
        <f>IF(D11&gt;0,0.6,0)</f>
        <v>0.6</v>
      </c>
      <c r="L11" s="95"/>
      <c r="M11" s="184"/>
      <c r="N11" s="184"/>
      <c r="O11" s="238"/>
      <c r="P11" s="184"/>
      <c r="Q11" s="184"/>
      <c r="R11" s="184"/>
      <c r="S11" s="184"/>
      <c r="T11" s="184"/>
      <c r="U11" s="184"/>
    </row>
    <row r="12" spans="1:21">
      <c r="B12" s="5" t="s">
        <v>33</v>
      </c>
      <c r="C12" s="36">
        <v>1</v>
      </c>
      <c r="D12" s="44">
        <v>8</v>
      </c>
      <c r="E12" s="93">
        <f>D12*F$10</f>
        <v>25</v>
      </c>
      <c r="F12" s="93"/>
      <c r="G12" s="93">
        <f>IF(E$33&gt;0,E12/E$33*100,0)</f>
        <v>12.5</v>
      </c>
      <c r="H12" s="4"/>
      <c r="I12" s="11">
        <v>1</v>
      </c>
      <c r="J12" s="11"/>
      <c r="K12" s="94">
        <f>IF(D12&gt;0,0.6,0)</f>
        <v>0.6</v>
      </c>
      <c r="L12" s="95"/>
      <c r="M12" s="184"/>
      <c r="N12" s="184"/>
      <c r="O12" s="238"/>
      <c r="P12" s="184"/>
      <c r="Q12" s="184"/>
      <c r="R12" s="184"/>
      <c r="S12" s="184"/>
      <c r="T12" s="184"/>
      <c r="U12" s="184"/>
    </row>
    <row r="13" spans="1:21">
      <c r="B13" s="5" t="s">
        <v>34</v>
      </c>
      <c r="C13" s="5"/>
      <c r="D13" s="44"/>
      <c r="E13" s="93">
        <f>D13*F$10</f>
        <v>0</v>
      </c>
      <c r="F13" s="93"/>
      <c r="G13" s="93">
        <f>IF(E$33&gt;0,E13/E$33*100,0)</f>
        <v>0</v>
      </c>
      <c r="H13" s="4"/>
      <c r="I13" s="11"/>
      <c r="J13" s="11"/>
      <c r="K13" s="94">
        <f>IF(D13&gt;0,0.6,0)</f>
        <v>0</v>
      </c>
      <c r="L13" s="95"/>
      <c r="M13" s="184"/>
      <c r="N13" s="184"/>
      <c r="O13" s="238"/>
      <c r="P13" s="184"/>
      <c r="Q13" s="184"/>
      <c r="R13" s="184"/>
      <c r="S13" s="184"/>
      <c r="T13" s="184"/>
      <c r="U13" s="184"/>
    </row>
    <row r="14" spans="1:21">
      <c r="B14" s="5" t="s">
        <v>35</v>
      </c>
      <c r="C14" s="5"/>
      <c r="D14" s="44"/>
      <c r="E14" s="93">
        <f>D14*F$10</f>
        <v>0</v>
      </c>
      <c r="F14" s="93"/>
      <c r="G14" s="93">
        <f>IF(E$33&gt;0,E14/E$33*100,0)</f>
        <v>0</v>
      </c>
      <c r="H14" s="4"/>
      <c r="I14" s="11"/>
      <c r="J14" s="11"/>
      <c r="K14" s="94">
        <f>IF(D14&gt;0,0.6,0)</f>
        <v>0</v>
      </c>
      <c r="L14" s="95"/>
      <c r="M14" s="184"/>
      <c r="N14" s="184"/>
      <c r="O14" s="238"/>
      <c r="P14" s="184"/>
      <c r="Q14" s="184"/>
      <c r="R14" s="184"/>
      <c r="S14" s="184"/>
      <c r="T14" s="184"/>
      <c r="U14" s="184"/>
    </row>
    <row r="15" spans="1:21" ht="16.2" thickBot="1">
      <c r="I15" s="7"/>
      <c r="J15" s="7"/>
      <c r="L15" s="17"/>
      <c r="M15" s="184"/>
      <c r="N15" s="239"/>
      <c r="O15" s="240"/>
      <c r="P15" s="184"/>
      <c r="Q15" s="184"/>
      <c r="R15" s="184"/>
      <c r="S15" s="184"/>
      <c r="T15" s="184"/>
      <c r="U15" s="184"/>
    </row>
    <row r="16" spans="1:21" ht="16.2" thickBot="1">
      <c r="B16" s="21" t="s">
        <v>37</v>
      </c>
      <c r="C16" s="42">
        <v>1</v>
      </c>
      <c r="D16" s="37">
        <f>SUM(D17:D20)</f>
        <v>16</v>
      </c>
      <c r="E16" s="103">
        <f>IF(C16=1,E33/C33,0)</f>
        <v>50</v>
      </c>
      <c r="F16" s="27">
        <f>IF(AND(C16=1,E16&gt;0),E16/D16,0)</f>
        <v>3.125</v>
      </c>
      <c r="G16" s="53">
        <f>IF(E33&gt;0,E16/E$33*100,0)</f>
        <v>25</v>
      </c>
      <c r="H16" s="23"/>
      <c r="I16" s="24"/>
      <c r="J16" s="24"/>
      <c r="K16" s="23"/>
      <c r="L16" s="76">
        <f>SUM(N17:N20)</f>
        <v>18</v>
      </c>
      <c r="M16" s="236">
        <v>2</v>
      </c>
      <c r="N16" s="241"/>
      <c r="O16" s="242"/>
      <c r="P16" s="184"/>
      <c r="Q16" s="184"/>
      <c r="R16" s="184"/>
      <c r="S16" s="184"/>
      <c r="T16" s="184"/>
      <c r="U16" s="184"/>
    </row>
    <row r="17" spans="2:21">
      <c r="B17" s="18" t="s">
        <v>27</v>
      </c>
      <c r="C17" s="5"/>
      <c r="D17" s="44">
        <v>9</v>
      </c>
      <c r="E17" s="93">
        <f>D17*F$16</f>
        <v>28.125</v>
      </c>
      <c r="F17" s="4"/>
      <c r="G17" s="93">
        <f>IF(E$33&gt;0,E17/E$33*100,0)</f>
        <v>14.0625</v>
      </c>
      <c r="H17" s="13" t="s">
        <v>50</v>
      </c>
      <c r="I17" s="22">
        <v>1</v>
      </c>
      <c r="J17" s="22"/>
      <c r="K17" s="9">
        <f>IF(D17&gt;0,0.6,0)</f>
        <v>0.6</v>
      </c>
      <c r="L17" s="43">
        <v>3</v>
      </c>
      <c r="M17" s="243">
        <v>3</v>
      </c>
      <c r="N17" s="244">
        <f>IF($C$16=1,ROUNDUP(SUM(L17*2*60+D17*5+30)*COUNT(D17)*COUNT(L17)/60,0),0)</f>
        <v>8</v>
      </c>
      <c r="O17" s="245"/>
      <c r="P17" s="184"/>
      <c r="Q17" s="184"/>
      <c r="R17" s="184"/>
      <c r="S17" s="184"/>
      <c r="T17" s="184"/>
      <c r="U17" s="184"/>
    </row>
    <row r="18" spans="2:21">
      <c r="B18" s="5" t="s">
        <v>29</v>
      </c>
      <c r="C18" s="5"/>
      <c r="D18" s="44">
        <v>7</v>
      </c>
      <c r="E18" s="93">
        <f>D18*F$16</f>
        <v>21.875</v>
      </c>
      <c r="F18" s="4"/>
      <c r="G18" s="93">
        <f>IF(E$33&gt;0,E18/E$33*100,0)</f>
        <v>10.9375</v>
      </c>
      <c r="H18" s="13" t="s">
        <v>50</v>
      </c>
      <c r="I18" s="11">
        <v>1</v>
      </c>
      <c r="J18" s="11"/>
      <c r="K18" s="9">
        <f>IF(D18&gt;0,0.6,0)</f>
        <v>0.6</v>
      </c>
      <c r="L18" s="43">
        <v>4</v>
      </c>
      <c r="M18" s="243">
        <v>4</v>
      </c>
      <c r="N18" s="244">
        <f>IF($C$16=1,ROUNDUP(SUM(L18*2*60+D18*5+30)*COUNT(D18)*COUNT(L18)/60,0),0)</f>
        <v>10</v>
      </c>
      <c r="O18" s="245"/>
      <c r="P18" s="184"/>
      <c r="Q18" s="184"/>
      <c r="R18" s="184"/>
      <c r="S18" s="184"/>
      <c r="T18" s="184"/>
      <c r="U18" s="184"/>
    </row>
    <row r="19" spans="2:21">
      <c r="B19" s="5" t="s">
        <v>30</v>
      </c>
      <c r="C19" s="5"/>
      <c r="D19" s="44"/>
      <c r="E19" s="93">
        <f>D19*F$16</f>
        <v>0</v>
      </c>
      <c r="F19" s="4"/>
      <c r="G19" s="93">
        <f>IF(E$33&gt;0,E19/E$33*100,0)</f>
        <v>0</v>
      </c>
      <c r="H19" s="13" t="s">
        <v>50</v>
      </c>
      <c r="I19" s="11"/>
      <c r="J19" s="11"/>
      <c r="K19" s="9">
        <f>IF(D19&gt;0,0.6,0)</f>
        <v>0</v>
      </c>
      <c r="L19" s="43"/>
      <c r="M19" s="243">
        <v>5</v>
      </c>
      <c r="N19" s="244">
        <f>IF($C$16=1,ROUNDUP(SUM(L19*2*60+D19*5+30)*COUNT(D19)*COUNT(L19)/60,0),0)</f>
        <v>0</v>
      </c>
      <c r="O19" s="245"/>
      <c r="P19" s="184"/>
      <c r="Q19" s="184"/>
      <c r="R19" s="184"/>
      <c r="S19" s="184"/>
      <c r="T19" s="184"/>
      <c r="U19" s="184"/>
    </row>
    <row r="20" spans="2:21">
      <c r="B20" s="5" t="s">
        <v>31</v>
      </c>
      <c r="C20" s="5"/>
      <c r="D20" s="44"/>
      <c r="E20" s="93">
        <f>D20*F$16</f>
        <v>0</v>
      </c>
      <c r="F20" s="4"/>
      <c r="G20" s="93">
        <f>IF(E$33&gt;0,E20/E$33*100,0)</f>
        <v>0</v>
      </c>
      <c r="H20" s="13" t="s">
        <v>50</v>
      </c>
      <c r="I20" s="11"/>
      <c r="J20" s="11"/>
      <c r="K20" s="9">
        <f>IF(D20&gt;0,0.6,0)</f>
        <v>0</v>
      </c>
      <c r="L20" s="43"/>
      <c r="M20" s="246"/>
      <c r="N20" s="244">
        <f>IF($C$16=1,ROUNDUP(SUM(L20*2*60+D20*5+30)*COUNT(D20)*COUNT(L20)/60,0),0)</f>
        <v>0</v>
      </c>
      <c r="O20" s="245"/>
      <c r="P20" s="184"/>
      <c r="Q20" s="184"/>
      <c r="R20" s="184"/>
      <c r="S20" s="184"/>
      <c r="T20" s="184"/>
      <c r="U20" s="184"/>
    </row>
    <row r="21" spans="2:21">
      <c r="I21" s="7"/>
      <c r="J21" s="7"/>
      <c r="L21" s="17"/>
      <c r="M21" s="184"/>
      <c r="N21" s="184"/>
      <c r="O21" s="238"/>
      <c r="P21" s="184"/>
      <c r="Q21" s="184"/>
      <c r="R21" s="184"/>
      <c r="S21" s="184"/>
      <c r="T21" s="184"/>
      <c r="U21" s="184"/>
    </row>
    <row r="22" spans="2:21" ht="16.2" thickBot="1">
      <c r="I22" s="7"/>
      <c r="J22" s="7"/>
      <c r="L22" s="17"/>
      <c r="M22" s="184"/>
      <c r="N22" s="184"/>
      <c r="O22" s="238"/>
      <c r="P22" s="184"/>
      <c r="Q22" s="184"/>
      <c r="R22" s="184"/>
      <c r="S22" s="184"/>
      <c r="T22" s="184"/>
      <c r="U22" s="184"/>
    </row>
    <row r="23" spans="2:21" ht="16.2" thickBot="1">
      <c r="B23" s="141" t="s">
        <v>47</v>
      </c>
      <c r="C23" s="42">
        <v>1</v>
      </c>
      <c r="D23" s="38">
        <f>SUM(D24:D27)</f>
        <v>25</v>
      </c>
      <c r="E23" s="104">
        <f>IF(C23=1,E33/C33,0)</f>
        <v>50</v>
      </c>
      <c r="F23" s="28">
        <f>IF(AND(C23=1,E23&gt;0),E23/D23,0)</f>
        <v>2</v>
      </c>
      <c r="G23" s="54">
        <f>IF(E33&gt;0,E23/E$33*100,0)</f>
        <v>25</v>
      </c>
      <c r="H23" s="14"/>
      <c r="I23" s="16" t="s">
        <v>11</v>
      </c>
      <c r="J23" s="16" t="s">
        <v>44</v>
      </c>
      <c r="K23" s="25">
        <f>IFERROR(SUM(K24:K27)/COUNT(I24:J27),0)</f>
        <v>0</v>
      </c>
      <c r="L23" s="26">
        <f>IF(C23=1,ROUND(COUNTA(D24:D27)*40/4,0),0)</f>
        <v>20</v>
      </c>
      <c r="M23" s="184"/>
      <c r="N23" s="184"/>
      <c r="O23" s="238"/>
      <c r="P23" s="184"/>
      <c r="Q23" s="184"/>
      <c r="R23" s="184"/>
      <c r="S23" s="184"/>
      <c r="T23" s="184"/>
      <c r="U23" s="184"/>
    </row>
    <row r="24" spans="2:21">
      <c r="B24" s="6" t="s">
        <v>38</v>
      </c>
      <c r="C24" s="6"/>
      <c r="D24" s="44">
        <v>14</v>
      </c>
      <c r="E24" s="93">
        <f>D24*F$23</f>
        <v>28</v>
      </c>
      <c r="F24" s="93"/>
      <c r="G24" s="93">
        <f>IF(E$33&gt;0,E24/E$33*100,0)</f>
        <v>14.000000000000002</v>
      </c>
      <c r="H24" s="96" t="s">
        <v>50</v>
      </c>
      <c r="I24" s="12">
        <v>1</v>
      </c>
      <c r="J24" s="12"/>
      <c r="K24" s="97" t="e">
        <f>IF(D24&gt;0,IF(#REF!*0.7+I24*0.6+J24*0.5&lt;1,#REF!*0.7+I24*0.6+J24*0.5,"FEHLER"))</f>
        <v>#REF!</v>
      </c>
      <c r="L24" s="95"/>
      <c r="M24" s="184"/>
      <c r="N24" s="184"/>
      <c r="O24" s="238"/>
      <c r="P24" s="184"/>
      <c r="Q24" s="184"/>
      <c r="R24" s="184"/>
      <c r="S24" s="184"/>
      <c r="T24" s="184"/>
      <c r="U24" s="184"/>
    </row>
    <row r="25" spans="2:21">
      <c r="B25" s="6" t="s">
        <v>39</v>
      </c>
      <c r="C25" s="6"/>
      <c r="D25" s="44">
        <v>11</v>
      </c>
      <c r="E25" s="93">
        <f>D25*F$23</f>
        <v>22</v>
      </c>
      <c r="F25" s="93"/>
      <c r="G25" s="93">
        <f>IF(E$33&gt;0,E25/E$33*100,0)</f>
        <v>11</v>
      </c>
      <c r="H25" s="96" t="s">
        <v>50</v>
      </c>
      <c r="I25" s="12">
        <v>1</v>
      </c>
      <c r="J25" s="12"/>
      <c r="K25" s="97" t="e">
        <f>IF(D25&gt;0,IF(#REF!*0.7+I25*0.6+J25*0.5&lt;1,#REF!*0.7+I25*0.6+J25*0.5,"FEHLER"))</f>
        <v>#REF!</v>
      </c>
      <c r="L25" s="95"/>
      <c r="M25" s="184"/>
      <c r="N25" s="184"/>
      <c r="O25" s="238"/>
      <c r="P25" s="184"/>
      <c r="Q25" s="184"/>
      <c r="R25" s="184"/>
      <c r="S25" s="184"/>
      <c r="T25" s="184"/>
      <c r="U25" s="184"/>
    </row>
    <row r="26" spans="2:21">
      <c r="B26" s="6" t="s">
        <v>40</v>
      </c>
      <c r="C26" s="6"/>
      <c r="D26" s="44"/>
      <c r="E26" s="93">
        <f>D26*F$23</f>
        <v>0</v>
      </c>
      <c r="F26" s="93"/>
      <c r="G26" s="93">
        <f>IF(E$33&gt;0,E26/E$33*100,0)</f>
        <v>0</v>
      </c>
      <c r="H26" s="96" t="s">
        <v>50</v>
      </c>
      <c r="I26" s="12"/>
      <c r="J26" s="12"/>
      <c r="K26" s="97" t="b">
        <f>IF(D26&gt;0,IF(#REF!*0.7+I26*0.6+J26*0.5&lt;1,#REF!*0.7+I26*0.6+J26*0.5,"FEHLER"))</f>
        <v>0</v>
      </c>
      <c r="L26" s="95"/>
      <c r="M26" s="184"/>
      <c r="N26" s="184"/>
      <c r="O26" s="238"/>
      <c r="P26" s="184"/>
      <c r="Q26" s="184"/>
      <c r="R26" s="184"/>
      <c r="S26" s="184"/>
      <c r="T26" s="184"/>
      <c r="U26" s="184"/>
    </row>
    <row r="27" spans="2:21">
      <c r="B27" s="6" t="s">
        <v>65</v>
      </c>
      <c r="C27" s="6"/>
      <c r="D27" s="44"/>
      <c r="E27" s="93">
        <f>D27*F$23</f>
        <v>0</v>
      </c>
      <c r="F27" s="93"/>
      <c r="G27" s="93">
        <f>IF(E$33&gt;0,E27/E$33*100,0)</f>
        <v>0</v>
      </c>
      <c r="H27" s="96" t="s">
        <v>50</v>
      </c>
      <c r="I27" s="12"/>
      <c r="J27" s="12"/>
      <c r="K27" s="97" t="b">
        <f>IF(D27&gt;0,IF(#REF!*0.7+I27*0.6+J27*0.5&lt;1,#REF!*0.7+I27*0.6+J27*0.5,"FEHLER"))</f>
        <v>0</v>
      </c>
      <c r="L27" s="95"/>
      <c r="M27" s="184"/>
      <c r="N27" s="184"/>
      <c r="O27" s="238"/>
      <c r="P27" s="184"/>
      <c r="Q27" s="184"/>
      <c r="R27" s="184"/>
      <c r="S27" s="184"/>
      <c r="T27" s="184"/>
      <c r="U27" s="184"/>
    </row>
    <row r="28" spans="2:21">
      <c r="I28" s="7"/>
      <c r="J28" s="7"/>
      <c r="L28" s="17"/>
      <c r="M28" s="184"/>
      <c r="N28" s="184"/>
      <c r="O28" s="238"/>
      <c r="P28" s="184"/>
      <c r="Q28" s="184"/>
      <c r="R28" s="184"/>
      <c r="S28" s="184"/>
      <c r="T28" s="184"/>
      <c r="U28" s="184"/>
    </row>
    <row r="29" spans="2:21" ht="16.2" thickBot="1">
      <c r="B29" s="19" t="s">
        <v>46</v>
      </c>
      <c r="C29" s="31"/>
      <c r="D29" s="107">
        <f>D30+D31</f>
        <v>40</v>
      </c>
      <c r="E29" s="105">
        <f>IF(C30+C31&gt;0,E33/C33,0)</f>
        <v>50</v>
      </c>
      <c r="F29" s="106">
        <f>IF(E29&gt;0,E29/D29,0)</f>
        <v>1.25</v>
      </c>
      <c r="G29" s="98">
        <f>IF(E33&gt;0,E29/E$33*100,0)</f>
        <v>25</v>
      </c>
      <c r="I29" s="10"/>
      <c r="J29" s="10"/>
      <c r="K29" s="2"/>
      <c r="L29" s="99">
        <f>L9-L16-L23-L10</f>
        <v>89</v>
      </c>
      <c r="M29" s="184"/>
      <c r="N29" s="184"/>
      <c r="O29" s="238"/>
      <c r="P29" s="184"/>
      <c r="Q29" s="184"/>
      <c r="R29" s="184"/>
      <c r="S29" s="184"/>
      <c r="T29" s="184"/>
      <c r="U29" s="184"/>
    </row>
    <row r="30" spans="2:21" ht="16.2" thickBot="1">
      <c r="B30" s="14" t="s">
        <v>41</v>
      </c>
      <c r="C30" s="42">
        <v>1</v>
      </c>
      <c r="D30" s="16">
        <f>IF(C30=1,40,0)</f>
        <v>40</v>
      </c>
      <c r="E30" s="30">
        <f>IF(C30=1,40,0)</f>
        <v>40</v>
      </c>
      <c r="F30" s="100"/>
      <c r="G30" s="93">
        <f>IF(E$33&gt;0,E30/E$33*100,0)</f>
        <v>20</v>
      </c>
      <c r="H30" s="96" t="s">
        <v>50</v>
      </c>
      <c r="I30" s="16"/>
      <c r="J30" s="16"/>
      <c r="K30" s="14"/>
      <c r="L30" s="95"/>
      <c r="M30" s="184"/>
      <c r="N30" s="184"/>
      <c r="O30" s="238"/>
      <c r="P30" s="184"/>
      <c r="Q30" s="184"/>
      <c r="R30" s="184"/>
      <c r="S30" s="184"/>
      <c r="T30" s="184"/>
      <c r="U30" s="184"/>
    </row>
    <row r="31" spans="2:21" ht="16.2" thickBot="1">
      <c r="B31" s="142" t="s">
        <v>42</v>
      </c>
      <c r="C31" s="143">
        <v>0</v>
      </c>
      <c r="D31" s="144">
        <f>IF(C31=1,40,0)</f>
        <v>0</v>
      </c>
      <c r="E31" s="30">
        <f>IF(C31=1,40,0)</f>
        <v>0</v>
      </c>
      <c r="F31" s="100"/>
      <c r="G31" s="93">
        <f>IF(E$33&gt;0,E31/E$33*100,0)</f>
        <v>0</v>
      </c>
      <c r="H31" s="96" t="s">
        <v>50</v>
      </c>
      <c r="I31" s="101"/>
      <c r="J31" s="101"/>
      <c r="K31" s="6"/>
      <c r="L31" s="95"/>
      <c r="M31" s="184"/>
      <c r="N31" s="184"/>
      <c r="O31" s="238"/>
      <c r="P31" s="184"/>
      <c r="Q31" s="184"/>
      <c r="R31" s="184"/>
      <c r="S31" s="184"/>
      <c r="T31" s="184"/>
      <c r="U31" s="184"/>
    </row>
    <row r="32" spans="2:21">
      <c r="D32" s="20"/>
      <c r="F32" s="29"/>
      <c r="M32" s="184"/>
      <c r="N32" s="184"/>
      <c r="O32" s="184"/>
      <c r="P32" s="184"/>
      <c r="Q32" s="184"/>
      <c r="R32" s="184"/>
      <c r="S32" s="184"/>
      <c r="T32" s="184"/>
      <c r="U32" s="184"/>
    </row>
    <row r="33" spans="2:21">
      <c r="B33" s="267" t="s">
        <v>71</v>
      </c>
      <c r="C33" s="102">
        <f>C10+C16+C23+(C30+C31)-C30*C31</f>
        <v>4</v>
      </c>
      <c r="D33" s="267" t="s">
        <v>59</v>
      </c>
      <c r="E33" s="32">
        <v>200</v>
      </c>
      <c r="F33" s="268"/>
      <c r="G33" s="269"/>
      <c r="H33" s="198"/>
      <c r="I33" s="198"/>
      <c r="J33" s="198"/>
      <c r="K33" s="198"/>
      <c r="L33" s="198"/>
      <c r="M33" s="184"/>
      <c r="N33" s="184"/>
      <c r="O33" s="184"/>
      <c r="P33" s="184"/>
      <c r="Q33" s="184"/>
      <c r="R33" s="184"/>
      <c r="S33" s="184"/>
      <c r="T33" s="184"/>
      <c r="U33" s="184"/>
    </row>
  </sheetData>
  <sheetProtection password="C570" sheet="1" objects="1" scenarios="1" selectLockedCells="1"/>
  <mergeCells count="16">
    <mergeCell ref="B2:C5"/>
    <mergeCell ref="H7:J7"/>
    <mergeCell ref="F8:F9"/>
    <mergeCell ref="D2:E2"/>
    <mergeCell ref="D3:E3"/>
    <mergeCell ref="D4:E4"/>
    <mergeCell ref="B8:B9"/>
    <mergeCell ref="C8:C9"/>
    <mergeCell ref="D8:D9"/>
    <mergeCell ref="E8:E9"/>
    <mergeCell ref="G8:G9"/>
    <mergeCell ref="D5:E5"/>
    <mergeCell ref="F2:G2"/>
    <mergeCell ref="F3:G3"/>
    <mergeCell ref="F4:G4"/>
    <mergeCell ref="F5:G5"/>
  </mergeCells>
  <dataValidations count="3">
    <dataValidation type="list" allowBlank="1" showInputMessage="1" showErrorMessage="1" sqref="C30:C31 C10 C16 C23">
      <formula1>$M$9:$M$10</formula1>
    </dataValidation>
    <dataValidation type="whole" operator="greaterThanOrEqual" allowBlank="1" showInputMessage="1" showErrorMessage="1" errorTitle="Ungültige Eingabe" error="Die Zahl der Items muss größer 0 sein!" sqref="D11:D14 D17:D20 D24:D27">
      <formula1>1</formula1>
    </dataValidation>
    <dataValidation type="list" allowBlank="1" showInputMessage="1" showErrorMessage="1" sqref="L17:L20">
      <formula1>$M$16:$M$19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J52"/>
  <sheetViews>
    <sheetView topLeftCell="A7" zoomScale="77" zoomScaleNormal="77" zoomScalePageLayoutView="150" workbookViewId="0">
      <selection activeCell="C34" sqref="C34"/>
    </sheetView>
  </sheetViews>
  <sheetFormatPr baseColWidth="10" defaultColWidth="12.59765625" defaultRowHeight="15.6"/>
  <cols>
    <col min="1" max="1" width="5.19921875" customWidth="1"/>
    <col min="2" max="2" width="4.09765625" customWidth="1"/>
    <col min="3" max="3" width="12.19921875" customWidth="1"/>
    <col min="4" max="4" width="10.8984375" customWidth="1"/>
    <col min="5" max="5" width="5.59765625" customWidth="1"/>
    <col min="6" max="6" width="5.5" customWidth="1"/>
    <col min="7" max="8" width="6.59765625" customWidth="1"/>
    <col min="9" max="9" width="5.69921875" customWidth="1"/>
    <col min="10" max="19" width="3.59765625" customWidth="1"/>
    <col min="20" max="21" width="6.59765625" customWidth="1"/>
    <col min="22" max="22" width="3.8984375" customWidth="1"/>
    <col min="23" max="23" width="6.3984375" hidden="1" customWidth="1"/>
    <col min="24" max="24" width="7.69921875" customWidth="1"/>
    <col min="25" max="25" width="7.09765625" customWidth="1"/>
    <col min="26" max="26" width="6.19921875" customWidth="1"/>
    <col min="27" max="27" width="13.8984375" customWidth="1"/>
    <col min="28" max="28" width="5.59765625" customWidth="1"/>
    <col min="29" max="31" width="7.59765625" customWidth="1"/>
  </cols>
  <sheetData>
    <row r="1" spans="2:36">
      <c r="B1" s="184"/>
      <c r="C1" s="200"/>
      <c r="D1" s="200"/>
      <c r="E1" s="340"/>
      <c r="F1" s="340"/>
      <c r="G1" s="201"/>
      <c r="H1" s="200"/>
      <c r="I1" s="341"/>
      <c r="J1" s="341"/>
      <c r="K1" s="342"/>
      <c r="L1" s="342"/>
      <c r="M1" s="342"/>
      <c r="N1" s="342"/>
      <c r="O1" s="342"/>
      <c r="P1" s="342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</row>
    <row r="2" spans="2:36" hidden="1">
      <c r="B2" s="184"/>
      <c r="C2" s="184"/>
      <c r="D2" s="184"/>
      <c r="E2" s="186"/>
      <c r="F2" s="186"/>
      <c r="G2" s="179"/>
      <c r="H2" s="179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4"/>
      <c r="Z2" s="184"/>
      <c r="AA2" s="184"/>
      <c r="AB2" s="184"/>
      <c r="AC2" s="184"/>
      <c r="AD2" s="184"/>
      <c r="AE2" s="184"/>
    </row>
    <row r="3" spans="2:36" hidden="1">
      <c r="B3" s="184"/>
      <c r="C3" s="184"/>
      <c r="D3" s="184"/>
      <c r="E3" s="184"/>
      <c r="F3" s="186"/>
      <c r="G3" s="180"/>
      <c r="H3" s="180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4"/>
      <c r="Z3" s="184"/>
      <c r="AA3" s="184"/>
      <c r="AB3" s="184"/>
      <c r="AC3" s="184"/>
      <c r="AD3" s="184"/>
      <c r="AE3" s="184"/>
    </row>
    <row r="4" spans="2:36" hidden="1">
      <c r="B4" s="184"/>
      <c r="C4" s="184"/>
      <c r="D4" s="184"/>
      <c r="E4" s="184"/>
      <c r="F4" s="186"/>
      <c r="G4" s="180"/>
      <c r="H4" s="180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4"/>
      <c r="Z4" s="184"/>
      <c r="AA4" s="184"/>
      <c r="AB4" s="184"/>
      <c r="AC4" s="184"/>
      <c r="AD4" s="184"/>
      <c r="AE4" s="184"/>
    </row>
    <row r="5" spans="2:36" hidden="1">
      <c r="B5" s="184"/>
      <c r="C5" s="184"/>
      <c r="D5" s="184"/>
      <c r="E5" s="184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4"/>
      <c r="Z5" s="184"/>
      <c r="AA5" s="184"/>
      <c r="AB5" s="184"/>
      <c r="AC5" s="184"/>
      <c r="AD5" s="184"/>
      <c r="AE5" s="184"/>
    </row>
    <row r="6" spans="2:36" s="1" customFormat="1" hidden="1">
      <c r="B6" s="185"/>
      <c r="C6" s="185"/>
      <c r="D6" s="185"/>
      <c r="E6" s="185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85"/>
      <c r="Z6" s="185"/>
      <c r="AA6" s="185"/>
      <c r="AB6" s="185"/>
      <c r="AC6" s="185"/>
      <c r="AD6" s="185"/>
      <c r="AE6" s="185"/>
    </row>
    <row r="7" spans="2:36" s="1" customFormat="1">
      <c r="B7" s="185"/>
      <c r="C7" s="187"/>
      <c r="D7" s="202"/>
      <c r="E7" s="185"/>
      <c r="F7" s="185"/>
      <c r="G7" s="108"/>
      <c r="H7" s="108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108"/>
      <c r="T7" s="108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2:36" s="1" customFormat="1" ht="15.75" customHeight="1">
      <c r="B8" s="377" t="s">
        <v>12</v>
      </c>
      <c r="C8" s="377"/>
      <c r="D8" s="378"/>
      <c r="E8" s="368" t="s">
        <v>13</v>
      </c>
      <c r="F8" s="368"/>
      <c r="G8" s="369"/>
      <c r="H8" s="203" t="str">
        <f>Schularbeitsplaner!F3</f>
        <v>7A</v>
      </c>
      <c r="I8" s="368" t="s">
        <v>64</v>
      </c>
      <c r="J8" s="368"/>
      <c r="K8" s="369"/>
      <c r="L8" s="366">
        <f>Schularbeitsplaner!F4</f>
        <v>2</v>
      </c>
      <c r="M8" s="367"/>
      <c r="N8" s="380" t="s">
        <v>60</v>
      </c>
      <c r="O8" s="381"/>
      <c r="P8" s="381"/>
      <c r="Q8" s="381"/>
      <c r="R8" s="381"/>
      <c r="S8" s="381"/>
      <c r="T8" s="381"/>
      <c r="U8" s="382"/>
      <c r="V8" s="372" t="s">
        <v>54</v>
      </c>
      <c r="W8" s="373"/>
      <c r="X8" s="373"/>
      <c r="Y8" s="374"/>
      <c r="Z8" s="185"/>
      <c r="AA8" s="350" t="s">
        <v>72</v>
      </c>
      <c r="AB8" s="350"/>
      <c r="AC8" s="350"/>
      <c r="AD8" s="350"/>
      <c r="AE8" s="350"/>
      <c r="AF8" s="188" t="s">
        <v>0</v>
      </c>
      <c r="AG8" s="189" t="s">
        <v>76</v>
      </c>
      <c r="AH8" s="189" t="s">
        <v>17</v>
      </c>
      <c r="AI8" s="189" t="s">
        <v>2</v>
      </c>
      <c r="AJ8" s="189" t="s">
        <v>3</v>
      </c>
    </row>
    <row r="9" spans="2:36" ht="15.75" customHeight="1">
      <c r="B9" s="184"/>
      <c r="C9" s="184"/>
      <c r="D9" s="184"/>
      <c r="E9" s="184"/>
      <c r="F9" s="184"/>
      <c r="G9" s="184"/>
      <c r="H9" s="184"/>
      <c r="I9" s="184"/>
      <c r="J9" s="184"/>
      <c r="K9" s="55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6"/>
      <c r="Y9" s="204"/>
      <c r="Z9" s="205"/>
      <c r="AA9" s="351"/>
      <c r="AB9" s="352"/>
      <c r="AC9" s="206" t="s">
        <v>43</v>
      </c>
      <c r="AD9" s="207"/>
      <c r="AE9" s="208" t="s">
        <v>43</v>
      </c>
      <c r="AF9" s="195" t="s">
        <v>6</v>
      </c>
      <c r="AG9" s="195" t="s">
        <v>8</v>
      </c>
      <c r="AH9" s="195" t="s">
        <v>9</v>
      </c>
      <c r="AI9" s="195" t="s">
        <v>10</v>
      </c>
      <c r="AJ9" s="195" t="s">
        <v>79</v>
      </c>
    </row>
    <row r="10" spans="2:36" ht="15.75" customHeight="1">
      <c r="B10" s="375"/>
      <c r="C10" s="375"/>
      <c r="D10" s="375"/>
      <c r="E10" s="109" t="s">
        <v>0</v>
      </c>
      <c r="F10" s="109" t="s">
        <v>1</v>
      </c>
      <c r="G10" s="370" t="s">
        <v>56</v>
      </c>
      <c r="H10" s="371"/>
      <c r="I10" s="110" t="s">
        <v>17</v>
      </c>
      <c r="J10" s="345" t="s">
        <v>2</v>
      </c>
      <c r="K10" s="345"/>
      <c r="L10" s="345"/>
      <c r="M10" s="345"/>
      <c r="N10" s="345"/>
      <c r="O10" s="345" t="s">
        <v>3</v>
      </c>
      <c r="P10" s="345"/>
      <c r="Q10" s="345"/>
      <c r="R10" s="345"/>
      <c r="S10" s="345"/>
      <c r="T10" s="396" t="s">
        <v>57</v>
      </c>
      <c r="U10" s="397"/>
      <c r="V10" s="90"/>
      <c r="W10" s="90"/>
      <c r="X10" s="383" t="s">
        <v>51</v>
      </c>
      <c r="Y10" s="384"/>
      <c r="Z10" s="209"/>
      <c r="AA10" s="353"/>
      <c r="AB10" s="354"/>
      <c r="AC10" s="210" t="s">
        <v>7</v>
      </c>
      <c r="AD10" s="211" t="s">
        <v>68</v>
      </c>
      <c r="AE10" s="212"/>
    </row>
    <row r="11" spans="2:36" ht="15.75" customHeight="1">
      <c r="B11" s="376" t="s">
        <v>4</v>
      </c>
      <c r="C11" s="376"/>
      <c r="D11" s="376"/>
      <c r="E11" s="39">
        <f>IF(Schularbeitsplaner!C10=1,Schularbeitsplaner!D10,0)</f>
        <v>16</v>
      </c>
      <c r="F11" s="261">
        <f>IF(Schularbeitsplaner!C16=1,Schularbeitsplaner!D16,0)</f>
        <v>16</v>
      </c>
      <c r="G11" s="257"/>
      <c r="H11" s="364"/>
      <c r="I11" s="263">
        <f>IF(Schularbeitsplaner!C23=1,Schularbeitsplaner!D23,0)</f>
        <v>25</v>
      </c>
      <c r="J11" s="346">
        <f>IF(Schularbeitsplaner!C30=1,Schularbeitsplaner!D30,0)</f>
        <v>40</v>
      </c>
      <c r="K11" s="346"/>
      <c r="L11" s="346"/>
      <c r="M11" s="346"/>
      <c r="N11" s="346"/>
      <c r="O11" s="346">
        <f>IF(Schularbeitsplaner!C31&gt;0,Schularbeitsplaner!D31,0)</f>
        <v>0</v>
      </c>
      <c r="P11" s="346"/>
      <c r="Q11" s="346"/>
      <c r="R11" s="346"/>
      <c r="S11" s="348"/>
      <c r="T11" s="257"/>
      <c r="U11" s="258" t="s">
        <v>58</v>
      </c>
      <c r="V11" s="394"/>
      <c r="W11" s="213"/>
      <c r="X11" s="351"/>
      <c r="Y11" s="352"/>
      <c r="Z11" s="186"/>
      <c r="AA11" s="400" t="s">
        <v>6</v>
      </c>
      <c r="AB11" s="401"/>
      <c r="AC11" s="214">
        <f>AC14+(X13-X15)*0.75</f>
        <v>180</v>
      </c>
      <c r="AD11" s="215" t="s">
        <v>69</v>
      </c>
      <c r="AE11" s="216">
        <f>X13</f>
        <v>200</v>
      </c>
    </row>
    <row r="12" spans="2:36" ht="15.75" customHeight="1">
      <c r="B12" s="376" t="s">
        <v>66</v>
      </c>
      <c r="C12" s="376"/>
      <c r="D12" s="376"/>
      <c r="E12" s="40">
        <f>Schularbeitsplaner!F10</f>
        <v>3.125</v>
      </c>
      <c r="F12" s="262">
        <f>Schularbeitsplaner!F16</f>
        <v>3.125</v>
      </c>
      <c r="G12" s="259"/>
      <c r="H12" s="365"/>
      <c r="I12" s="264">
        <f>Schularbeitsplaner!F23</f>
        <v>2</v>
      </c>
      <c r="J12" s="347">
        <f>Schularbeitsplaner!F29</f>
        <v>1.25</v>
      </c>
      <c r="K12" s="347"/>
      <c r="L12" s="347"/>
      <c r="M12" s="347"/>
      <c r="N12" s="347"/>
      <c r="O12" s="347">
        <f>Schularbeitsplaner!F29</f>
        <v>1.25</v>
      </c>
      <c r="P12" s="347"/>
      <c r="Q12" s="347"/>
      <c r="R12" s="347"/>
      <c r="S12" s="349"/>
      <c r="T12" s="259"/>
      <c r="U12" s="260" t="s">
        <v>54</v>
      </c>
      <c r="V12" s="395"/>
      <c r="W12" s="204"/>
      <c r="X12" s="353"/>
      <c r="Y12" s="354"/>
      <c r="Z12" s="186"/>
      <c r="AA12" s="402" t="s">
        <v>8</v>
      </c>
      <c r="AB12" s="403"/>
      <c r="AC12" s="214">
        <f>AC14+(X13-X15)*0.5</f>
        <v>160</v>
      </c>
      <c r="AD12" s="217" t="s">
        <v>70</v>
      </c>
      <c r="AE12" s="216">
        <f>AC11</f>
        <v>180</v>
      </c>
    </row>
    <row r="13" spans="2:36" ht="15.75" customHeight="1">
      <c r="B13" s="406" t="s">
        <v>43</v>
      </c>
      <c r="C13" s="406"/>
      <c r="D13" s="406"/>
      <c r="E13" s="41">
        <f>E12*E11</f>
        <v>50</v>
      </c>
      <c r="F13" s="41">
        <f>F12*F11</f>
        <v>50</v>
      </c>
      <c r="G13" s="265">
        <f>E13+F13</f>
        <v>100</v>
      </c>
      <c r="H13" s="265">
        <f>E13+F13</f>
        <v>100</v>
      </c>
      <c r="I13" s="52">
        <f>I12*I11</f>
        <v>50</v>
      </c>
      <c r="J13" s="363">
        <f>J11*J12</f>
        <v>50</v>
      </c>
      <c r="K13" s="363"/>
      <c r="L13" s="363"/>
      <c r="M13" s="363"/>
      <c r="N13" s="363"/>
      <c r="O13" s="363">
        <f>O11*O12</f>
        <v>0</v>
      </c>
      <c r="P13" s="363"/>
      <c r="Q13" s="363"/>
      <c r="R13" s="363"/>
      <c r="S13" s="363"/>
      <c r="T13" s="256">
        <f>I13+J13+O13</f>
        <v>100</v>
      </c>
      <c r="U13" s="256">
        <f>I13+J13+O13</f>
        <v>100</v>
      </c>
      <c r="V13" s="90"/>
      <c r="W13" s="90"/>
      <c r="X13" s="385">
        <f>G13+T13</f>
        <v>200</v>
      </c>
      <c r="Y13" s="386"/>
      <c r="Z13" s="186"/>
      <c r="AA13" s="402" t="s">
        <v>9</v>
      </c>
      <c r="AB13" s="403"/>
      <c r="AC13" s="214">
        <f>AC14+(X13-X15)*0.25</f>
        <v>140</v>
      </c>
      <c r="AD13" s="217" t="s">
        <v>70</v>
      </c>
      <c r="AE13" s="216">
        <f>AC12</f>
        <v>160</v>
      </c>
    </row>
    <row r="14" spans="2:36" ht="15.75" customHeight="1">
      <c r="B14" s="407" t="s">
        <v>5</v>
      </c>
      <c r="C14" s="407"/>
      <c r="D14" s="407"/>
      <c r="E14" s="344">
        <v>0.5</v>
      </c>
      <c r="F14" s="344"/>
      <c r="G14" s="90"/>
      <c r="H14" s="90"/>
      <c r="I14" s="362">
        <v>0.5</v>
      </c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90"/>
      <c r="U14" s="90"/>
      <c r="V14" s="90"/>
      <c r="W14" s="90"/>
      <c r="X14" s="387">
        <v>0.6</v>
      </c>
      <c r="Y14" s="388"/>
      <c r="Z14" s="186"/>
      <c r="AA14" s="402" t="s">
        <v>10</v>
      </c>
      <c r="AB14" s="403"/>
      <c r="AC14" s="214">
        <f>AE15</f>
        <v>120</v>
      </c>
      <c r="AD14" s="217" t="s">
        <v>70</v>
      </c>
      <c r="AE14" s="216">
        <f>AC13</f>
        <v>140</v>
      </c>
    </row>
    <row r="15" spans="2:36" ht="15.75" customHeight="1">
      <c r="B15" s="408" t="s">
        <v>52</v>
      </c>
      <c r="C15" s="408"/>
      <c r="D15" s="408"/>
      <c r="E15" s="379"/>
      <c r="F15" s="379"/>
      <c r="G15" s="92">
        <f>G13*E14</f>
        <v>50</v>
      </c>
      <c r="H15" s="92">
        <f>G13*E14</f>
        <v>50</v>
      </c>
      <c r="I15" s="391"/>
      <c r="J15" s="392"/>
      <c r="K15" s="392"/>
      <c r="L15" s="392"/>
      <c r="M15" s="392"/>
      <c r="N15" s="392"/>
      <c r="O15" s="392"/>
      <c r="P15" s="392"/>
      <c r="Q15" s="392"/>
      <c r="R15" s="392"/>
      <c r="S15" s="393"/>
      <c r="T15" s="91">
        <f>T13*I14</f>
        <v>50</v>
      </c>
      <c r="U15" s="91">
        <f>T13*I14</f>
        <v>50</v>
      </c>
      <c r="V15" s="90"/>
      <c r="W15" s="218"/>
      <c r="X15" s="389">
        <f>X13*X14</f>
        <v>120</v>
      </c>
      <c r="Y15" s="390"/>
      <c r="Z15" s="186"/>
      <c r="AA15" s="404" t="s">
        <v>48</v>
      </c>
      <c r="AB15" s="405"/>
      <c r="AC15" s="219">
        <v>0</v>
      </c>
      <c r="AD15" s="220" t="s">
        <v>70</v>
      </c>
      <c r="AE15" s="221">
        <f>X15</f>
        <v>120</v>
      </c>
    </row>
    <row r="16" spans="2:36" ht="17.25" customHeight="1" thickBot="1">
      <c r="B16" s="184"/>
      <c r="C16" s="184"/>
      <c r="D16" s="184"/>
      <c r="E16" s="184"/>
      <c r="F16" s="184"/>
      <c r="G16" s="222"/>
      <c r="H16" s="222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222"/>
      <c r="U16" s="184"/>
      <c r="V16" s="184"/>
      <c r="W16" s="223"/>
      <c r="X16" s="223"/>
      <c r="Y16" s="223"/>
      <c r="Z16" s="223"/>
      <c r="AA16" s="223"/>
      <c r="AB16" s="184"/>
      <c r="AC16" s="184"/>
      <c r="AD16" s="184"/>
      <c r="AE16" s="184"/>
    </row>
    <row r="17" spans="2:32" ht="16.2" thickTop="1">
      <c r="B17" s="146" t="s">
        <v>14</v>
      </c>
      <c r="C17" s="147"/>
      <c r="D17" s="50"/>
      <c r="E17" s="170" t="s">
        <v>0</v>
      </c>
      <c r="F17" s="115" t="s">
        <v>1</v>
      </c>
      <c r="G17" s="420"/>
      <c r="H17" s="421"/>
      <c r="I17" s="224" t="s">
        <v>17</v>
      </c>
      <c r="J17" s="359" t="s">
        <v>2</v>
      </c>
      <c r="K17" s="359"/>
      <c r="L17" s="359"/>
      <c r="M17" s="359"/>
      <c r="N17" s="359"/>
      <c r="O17" s="360" t="s">
        <v>3</v>
      </c>
      <c r="P17" s="359"/>
      <c r="Q17" s="359"/>
      <c r="R17" s="359"/>
      <c r="S17" s="361"/>
      <c r="T17" s="145"/>
      <c r="U17" s="114"/>
      <c r="V17" s="161"/>
      <c r="W17" s="161"/>
      <c r="X17" s="174" t="s">
        <v>62</v>
      </c>
      <c r="Y17" s="177" t="s">
        <v>23</v>
      </c>
      <c r="Z17" s="156"/>
      <c r="AA17" s="412" t="s">
        <v>23</v>
      </c>
      <c r="AB17" s="413"/>
      <c r="AC17" s="414" t="s">
        <v>78</v>
      </c>
      <c r="AD17" s="415"/>
      <c r="AE17" s="416"/>
      <c r="AF17" s="178"/>
    </row>
    <row r="18" spans="2:32" ht="21.6" hidden="1">
      <c r="B18" s="148" t="s">
        <v>14</v>
      </c>
      <c r="C18" s="149" t="s">
        <v>15</v>
      </c>
      <c r="D18" s="51" t="s">
        <v>16</v>
      </c>
      <c r="E18" s="119" t="s">
        <v>0</v>
      </c>
      <c r="F18" s="116" t="s">
        <v>1</v>
      </c>
      <c r="G18" s="171"/>
      <c r="H18" s="172" t="s">
        <v>24</v>
      </c>
      <c r="I18" s="225" t="s">
        <v>17</v>
      </c>
      <c r="J18" s="154" t="s">
        <v>18</v>
      </c>
      <c r="K18" s="151" t="s">
        <v>19</v>
      </c>
      <c r="L18" s="151" t="s">
        <v>20</v>
      </c>
      <c r="M18" s="151" t="s">
        <v>21</v>
      </c>
      <c r="N18" s="152">
        <v>1</v>
      </c>
      <c r="O18" s="151" t="s">
        <v>18</v>
      </c>
      <c r="P18" s="151" t="s">
        <v>19</v>
      </c>
      <c r="Q18" s="151" t="s">
        <v>20</v>
      </c>
      <c r="R18" s="151" t="s">
        <v>21</v>
      </c>
      <c r="S18" s="155">
        <v>2</v>
      </c>
      <c r="T18" s="171" t="s">
        <v>22</v>
      </c>
      <c r="U18" s="173" t="s">
        <v>25</v>
      </c>
      <c r="V18" s="162"/>
      <c r="W18" s="162"/>
      <c r="X18" s="175" t="s">
        <v>26</v>
      </c>
      <c r="Y18" s="176" t="s">
        <v>23</v>
      </c>
      <c r="Z18" s="157"/>
      <c r="AA18" s="149"/>
      <c r="AB18" s="191"/>
      <c r="AC18" s="181"/>
      <c r="AD18" s="149"/>
      <c r="AE18" s="149"/>
    </row>
    <row r="19" spans="2:32" ht="15.75" customHeight="1" thickBot="1">
      <c r="B19" s="148"/>
      <c r="C19" s="149"/>
      <c r="D19" s="51"/>
      <c r="E19" s="119"/>
      <c r="F19" s="116"/>
      <c r="G19" s="270" t="s">
        <v>59</v>
      </c>
      <c r="H19" s="271" t="str">
        <f>IF(V$8="Gesamtverrechnung","GV","RP-Modell")</f>
        <v>RP-Modell</v>
      </c>
      <c r="I19" s="272" t="s">
        <v>17</v>
      </c>
      <c r="J19" s="273" t="s">
        <v>18</v>
      </c>
      <c r="K19" s="274" t="s">
        <v>19</v>
      </c>
      <c r="L19" s="274" t="s">
        <v>20</v>
      </c>
      <c r="M19" s="275" t="s">
        <v>21</v>
      </c>
      <c r="N19" s="276" t="s">
        <v>61</v>
      </c>
      <c r="O19" s="273" t="s">
        <v>18</v>
      </c>
      <c r="P19" s="274" t="s">
        <v>19</v>
      </c>
      <c r="Q19" s="274" t="s">
        <v>20</v>
      </c>
      <c r="R19" s="275" t="s">
        <v>21</v>
      </c>
      <c r="S19" s="276" t="s">
        <v>61</v>
      </c>
      <c r="T19" s="270" t="s">
        <v>59</v>
      </c>
      <c r="U19" s="113" t="str">
        <f>IF(V$8="Gesamtverrechnung","GV","RP-Modell")</f>
        <v>RP-Modell</v>
      </c>
      <c r="V19" s="163"/>
      <c r="W19" s="168" t="s">
        <v>59</v>
      </c>
      <c r="X19" s="112" t="str">
        <f>IF(V$8="Gesamtverrechnung","GV","RP-Modell")</f>
        <v>RP-Modell</v>
      </c>
      <c r="Y19" s="113" t="str">
        <f>IF(V$8="Gesamtverrechnung","GV","RP-Modell")</f>
        <v>RP-Modell</v>
      </c>
      <c r="Z19" s="158"/>
      <c r="AA19" s="410"/>
      <c r="AB19" s="411"/>
      <c r="AC19" s="193"/>
      <c r="AD19" s="417" t="s">
        <v>75</v>
      </c>
      <c r="AE19" s="417"/>
    </row>
    <row r="20" spans="2:32" ht="16.2" thickTop="1">
      <c r="B20" s="148"/>
      <c r="C20" s="357" t="s">
        <v>55</v>
      </c>
      <c r="D20" s="358"/>
      <c r="E20" s="70">
        <f>E11</f>
        <v>16</v>
      </c>
      <c r="F20" s="117">
        <f>F11</f>
        <v>16</v>
      </c>
      <c r="G20" s="166">
        <f>G13</f>
        <v>100</v>
      </c>
      <c r="H20" s="255">
        <f>H13</f>
        <v>100</v>
      </c>
      <c r="I20" s="226">
        <f>I11</f>
        <v>25</v>
      </c>
      <c r="J20" s="62">
        <f>IF(Schularbeitsplaner!$C$30=1,10,0)</f>
        <v>10</v>
      </c>
      <c r="K20" s="63">
        <f>IF(Schularbeitsplaner!$C$30=1,10,0)</f>
        <v>10</v>
      </c>
      <c r="L20" s="63">
        <f>IF(Schularbeitsplaner!$C$30=1,10,0)</f>
        <v>10</v>
      </c>
      <c r="M20" s="68">
        <f>IF(Schularbeitsplaner!$C$30=1,10,0)</f>
        <v>10</v>
      </c>
      <c r="N20" s="70">
        <f>SUM(J20:M20)</f>
        <v>40</v>
      </c>
      <c r="O20" s="62">
        <f>IF(Schularbeitsplaner!$C$31=1,10,0)</f>
        <v>0</v>
      </c>
      <c r="P20" s="63">
        <f>IF(Schularbeitsplaner!$C$31=1,10,0)</f>
        <v>0</v>
      </c>
      <c r="Q20" s="63">
        <f>IF(Schularbeitsplaner!$C$31=1,10,0)</f>
        <v>0</v>
      </c>
      <c r="R20" s="68">
        <f>IF(Schularbeitsplaner!$C$31=1,10,0)</f>
        <v>0</v>
      </c>
      <c r="S20" s="70">
        <f>SUM(O20:R20)</f>
        <v>0</v>
      </c>
      <c r="T20" s="166">
        <f>T13</f>
        <v>100</v>
      </c>
      <c r="U20" s="254">
        <f>U13</f>
        <v>100</v>
      </c>
      <c r="V20" s="167"/>
      <c r="W20" s="169">
        <f>X13</f>
        <v>200</v>
      </c>
      <c r="X20" s="277">
        <f>X13</f>
        <v>200</v>
      </c>
      <c r="Y20" s="164"/>
      <c r="Z20" s="159"/>
      <c r="AA20" s="423" t="s">
        <v>6</v>
      </c>
      <c r="AB20" s="424"/>
      <c r="AC20" s="192">
        <f>COUNTIF(Y22:Y49,1)</f>
        <v>2</v>
      </c>
      <c r="AD20" s="355">
        <f t="shared" ref="AD20:AD25" si="0">IF(AC$25&gt;0,AC20/AC$25*100,0)</f>
        <v>16.666666666666664</v>
      </c>
      <c r="AE20" s="355"/>
    </row>
    <row r="21" spans="2:32" ht="16.2" thickBot="1">
      <c r="B21" s="150"/>
      <c r="C21" s="47" t="s">
        <v>15</v>
      </c>
      <c r="D21" s="49" t="s">
        <v>16</v>
      </c>
      <c r="E21" s="120"/>
      <c r="F21" s="118"/>
      <c r="G21" s="48"/>
      <c r="H21" s="60"/>
      <c r="I21" s="227"/>
      <c r="J21" s="56"/>
      <c r="K21" s="57"/>
      <c r="L21" s="57"/>
      <c r="M21" s="69"/>
      <c r="N21" s="71"/>
      <c r="O21" s="87"/>
      <c r="P21" s="88"/>
      <c r="Q21" s="88"/>
      <c r="R21" s="89"/>
      <c r="S21" s="71"/>
      <c r="T21" s="48"/>
      <c r="U21" s="58"/>
      <c r="V21" s="59"/>
      <c r="W21" s="67"/>
      <c r="X21" s="66"/>
      <c r="Y21" s="61"/>
      <c r="Z21" s="159"/>
      <c r="AA21" s="425" t="s">
        <v>8</v>
      </c>
      <c r="AB21" s="426"/>
      <c r="AC21" s="190">
        <f>COUNTIF(Y22:Y49,2)</f>
        <v>1</v>
      </c>
      <c r="AD21" s="356">
        <f t="shared" si="0"/>
        <v>8.3333333333333321</v>
      </c>
      <c r="AE21" s="356"/>
    </row>
    <row r="22" spans="2:32">
      <c r="B22" s="45">
        <v>1</v>
      </c>
      <c r="C22" s="46" t="s">
        <v>83</v>
      </c>
      <c r="D22" s="279"/>
      <c r="E22" s="280">
        <v>10</v>
      </c>
      <c r="F22" s="281">
        <v>4</v>
      </c>
      <c r="G22" s="249">
        <f>IF(COUNT(E22,F22)&gt;0,$E22*$E$12*Schularbeitsplaner!C$10+$F22*$F$12*Schularbeitsplaner!C$16,"")</f>
        <v>43.75</v>
      </c>
      <c r="H22" s="247">
        <f>IF(COUNT(E22:F22)&gt;0,IF(V$8="Gesamtverrechnung",G22,IF(G22&gt;=G$15,G22,0)),"")</f>
        <v>0</v>
      </c>
      <c r="I22" s="292">
        <v>21</v>
      </c>
      <c r="J22" s="288">
        <v>7</v>
      </c>
      <c r="K22" s="289">
        <v>9</v>
      </c>
      <c r="L22" s="289">
        <v>8</v>
      </c>
      <c r="M22" s="290">
        <v>8</v>
      </c>
      <c r="N22" s="74">
        <f>IF(COUNT(J22:M22)&gt;0,IF(J22&gt;0,SUM(J22:M22)*Schularbeitsplaner!C$30,0),"")</f>
        <v>32</v>
      </c>
      <c r="O22" s="85"/>
      <c r="P22" s="86"/>
      <c r="Q22" s="86"/>
      <c r="R22" s="77"/>
      <c r="S22" s="75" t="str">
        <f>IF(COUNT(O22:R22)&gt;0,IF(O22&gt;0,(O22+P22+Q22+R22)*Schularbeitsplaner!C$31,0),"")</f>
        <v/>
      </c>
      <c r="T22" s="253">
        <f t="shared" ref="T22:T49" si="1">IF(COUNT(I22,N22,S22)&gt;0,I22*I$12+SUM(J22:M22)*J$12+SUM(O22:R22)*O$12,"")</f>
        <v>82</v>
      </c>
      <c r="U22" s="252">
        <f>IF(COUNT(I22:M22,O22:R22)&gt;0,IF(V$8="Gesamtverrechnung",T22,IF(T22&gt;=T$15,T22,0)),"")</f>
        <v>82</v>
      </c>
      <c r="V22" s="153"/>
      <c r="W22" s="165">
        <f>SUM(G22,T22)</f>
        <v>125.75</v>
      </c>
      <c r="X22" s="231">
        <f>IF(COUNT(H22,U22)&gt;0,SUM(H22,U22),"")</f>
        <v>82</v>
      </c>
      <c r="Y22" s="72" t="str">
        <f t="shared" ref="Y22:Y49" si="2">IF(COUNT(X22)=0,"",IF(X22&lt;$AE$15,"5",IF(X22&lt;$AE$14,"4",IF(X22&lt;$AE$13,"3",IF(X22&lt;$AE$12,"2",IF(X22&lt;=$AE$11,"1",""))))))</f>
        <v>5</v>
      </c>
      <c r="Z22" s="160"/>
      <c r="AA22" s="425" t="s">
        <v>9</v>
      </c>
      <c r="AB22" s="426"/>
      <c r="AC22" s="190">
        <f>COUNTIF(Y22:Y49,3)</f>
        <v>4</v>
      </c>
      <c r="AD22" s="356">
        <f t="shared" si="0"/>
        <v>33.333333333333329</v>
      </c>
      <c r="AE22" s="356"/>
    </row>
    <row r="23" spans="2:32">
      <c r="B23" s="3">
        <f>B22+1</f>
        <v>2</v>
      </c>
      <c r="C23" s="8" t="s">
        <v>84</v>
      </c>
      <c r="D23" s="278"/>
      <c r="E23" s="280">
        <v>9</v>
      </c>
      <c r="F23" s="284">
        <v>11</v>
      </c>
      <c r="G23" s="249">
        <f>IF(COUNT(E23,F23)&gt;0,$E23*$E$12*Schularbeitsplaner!C$10+$F23*$F$12*Schularbeitsplaner!C$16,"")</f>
        <v>62.5</v>
      </c>
      <c r="H23" s="247">
        <f t="shared" ref="H23:H49" si="3">IF(COUNT(E23:F23)&gt;0,IF(V$8="Gesamtverrechnung",G23,IF(G23&gt;=G$15,G23,0)),"")</f>
        <v>62.5</v>
      </c>
      <c r="I23" s="292">
        <v>18</v>
      </c>
      <c r="J23" s="286">
        <v>10</v>
      </c>
      <c r="K23" s="291">
        <v>10</v>
      </c>
      <c r="L23" s="291">
        <v>7</v>
      </c>
      <c r="M23" s="287">
        <v>5</v>
      </c>
      <c r="N23" s="74">
        <f>IF(COUNT(J23:M23)&gt;0,IF(J23&gt;0,SUM(J23:M23)*Schularbeitsplaner!C$30,0),"")</f>
        <v>32</v>
      </c>
      <c r="O23" s="84"/>
      <c r="P23" s="78"/>
      <c r="Q23" s="78"/>
      <c r="R23" s="79"/>
      <c r="S23" s="75" t="str">
        <f>IF(COUNT(O23:R23)&gt;0,IF(O23&gt;0,(O23+P23+Q23+R23)*Schularbeitsplaner!C$31,0),"")</f>
        <v/>
      </c>
      <c r="T23" s="253">
        <f t="shared" si="1"/>
        <v>76</v>
      </c>
      <c r="U23" s="252">
        <f t="shared" ref="U23:U49" si="4">IF(COUNT(I23:M23,O23:R23)&gt;0,IF(V$8="Gesamtverrechnung",T23,IF(T23&gt;=T$15,T23,0)),"")</f>
        <v>76</v>
      </c>
      <c r="V23" s="153"/>
      <c r="W23" s="165">
        <f t="shared" ref="W23:W49" si="5">SUM(G23,T23)</f>
        <v>138.5</v>
      </c>
      <c r="X23" s="232">
        <f t="shared" ref="X23:X49" si="6">IF(COUNT(H23,U23)&gt;0,SUM(H23,U23),"")</f>
        <v>138.5</v>
      </c>
      <c r="Y23" s="73" t="str">
        <f t="shared" si="2"/>
        <v>4</v>
      </c>
      <c r="Z23" s="160"/>
      <c r="AA23" s="425" t="s">
        <v>10</v>
      </c>
      <c r="AB23" s="426"/>
      <c r="AC23" s="190">
        <f>COUNTIF(Y22:Y49,4)</f>
        <v>4</v>
      </c>
      <c r="AD23" s="356">
        <f t="shared" si="0"/>
        <v>33.333333333333329</v>
      </c>
      <c r="AE23" s="356"/>
    </row>
    <row r="24" spans="2:32" ht="16.2" thickBot="1">
      <c r="B24" s="3">
        <f t="shared" ref="B24:B49" si="7">B23+1</f>
        <v>3</v>
      </c>
      <c r="C24" s="8" t="s">
        <v>85</v>
      </c>
      <c r="D24" s="278"/>
      <c r="E24" s="280">
        <v>14</v>
      </c>
      <c r="F24" s="284">
        <v>13</v>
      </c>
      <c r="G24" s="249">
        <f>IF(COUNT(E24,F24)&gt;0,$E24*$E$12*Schularbeitsplaner!C$10+$F24*$F$12*Schularbeitsplaner!C$16,"")</f>
        <v>84.375</v>
      </c>
      <c r="H24" s="247">
        <f t="shared" si="3"/>
        <v>84.375</v>
      </c>
      <c r="I24" s="292">
        <v>23</v>
      </c>
      <c r="J24" s="286">
        <v>8</v>
      </c>
      <c r="K24" s="291">
        <v>8</v>
      </c>
      <c r="L24" s="291">
        <v>9</v>
      </c>
      <c r="M24" s="287">
        <v>7</v>
      </c>
      <c r="N24" s="74">
        <f>IF(COUNT(J24:M24)&gt;0,IF(J24&gt;0,SUM(J24:M24)*Schularbeitsplaner!C$30,0),"")</f>
        <v>32</v>
      </c>
      <c r="O24" s="84"/>
      <c r="P24" s="78"/>
      <c r="Q24" s="78"/>
      <c r="R24" s="79"/>
      <c r="S24" s="75" t="str">
        <f>IF(COUNT(O24:R24)&gt;0,IF(O24&gt;0,(O24+P24+Q24+R24)*Schularbeitsplaner!C$31,0),"")</f>
        <v/>
      </c>
      <c r="T24" s="253">
        <f t="shared" si="1"/>
        <v>86</v>
      </c>
      <c r="U24" s="252">
        <f t="shared" si="4"/>
        <v>86</v>
      </c>
      <c r="V24" s="153"/>
      <c r="W24" s="165">
        <f t="shared" si="5"/>
        <v>170.375</v>
      </c>
      <c r="X24" s="232">
        <f t="shared" si="6"/>
        <v>170.375</v>
      </c>
      <c r="Y24" s="73" t="str">
        <f t="shared" si="2"/>
        <v>2</v>
      </c>
      <c r="Z24" s="160"/>
      <c r="AA24" s="427" t="s">
        <v>48</v>
      </c>
      <c r="AB24" s="428"/>
      <c r="AC24" s="194">
        <f>COUNTIF(Y22:Y49,5)</f>
        <v>1</v>
      </c>
      <c r="AD24" s="422">
        <f t="shared" si="0"/>
        <v>8.3333333333333321</v>
      </c>
      <c r="AE24" s="422"/>
    </row>
    <row r="25" spans="2:32" ht="16.2" thickTop="1">
      <c r="B25" s="3">
        <f t="shared" si="7"/>
        <v>4</v>
      </c>
      <c r="C25" s="8" t="s">
        <v>86</v>
      </c>
      <c r="D25" s="278"/>
      <c r="E25" s="280">
        <v>9</v>
      </c>
      <c r="F25" s="284">
        <v>11</v>
      </c>
      <c r="G25" s="249">
        <f>IF(COUNT(E25,F25)&gt;0,$E25*$E$12*Schularbeitsplaner!C$10+$F25*$F$12*Schularbeitsplaner!C$16,"")</f>
        <v>62.5</v>
      </c>
      <c r="H25" s="247">
        <f t="shared" si="3"/>
        <v>62.5</v>
      </c>
      <c r="I25" s="292">
        <v>20</v>
      </c>
      <c r="J25" s="286">
        <v>5</v>
      </c>
      <c r="K25" s="291">
        <v>8</v>
      </c>
      <c r="L25" s="291">
        <v>4</v>
      </c>
      <c r="M25" s="287">
        <v>3</v>
      </c>
      <c r="N25" s="74">
        <f>IF(COUNT(J25:M25)&gt;0,IF(J25&gt;0,SUM(J25:M25)*Schularbeitsplaner!C$30,0),"")</f>
        <v>20</v>
      </c>
      <c r="O25" s="84"/>
      <c r="P25" s="78"/>
      <c r="Q25" s="78"/>
      <c r="R25" s="79"/>
      <c r="S25" s="75" t="str">
        <f>IF(COUNT(O25:R25)&gt;0,IF(O25&gt;0,(O25+P25+Q25+R25)*Schularbeitsplaner!C$31,0),"")</f>
        <v/>
      </c>
      <c r="T25" s="253">
        <f t="shared" si="1"/>
        <v>65</v>
      </c>
      <c r="U25" s="252">
        <f t="shared" si="4"/>
        <v>65</v>
      </c>
      <c r="V25" s="153"/>
      <c r="W25" s="165">
        <f t="shared" si="5"/>
        <v>127.5</v>
      </c>
      <c r="X25" s="232">
        <f t="shared" si="6"/>
        <v>127.5</v>
      </c>
      <c r="Y25" s="73" t="str">
        <f t="shared" si="2"/>
        <v>4</v>
      </c>
      <c r="Z25" s="160"/>
      <c r="AA25" s="418" t="s">
        <v>77</v>
      </c>
      <c r="AB25" s="419"/>
      <c r="AC25" s="192">
        <f>SUM(AC20:AC24)</f>
        <v>12</v>
      </c>
      <c r="AD25" s="355">
        <f t="shared" si="0"/>
        <v>100</v>
      </c>
      <c r="AE25" s="355"/>
    </row>
    <row r="26" spans="2:32">
      <c r="B26" s="3">
        <f t="shared" si="7"/>
        <v>5</v>
      </c>
      <c r="C26" s="8" t="s">
        <v>87</v>
      </c>
      <c r="D26" s="278"/>
      <c r="E26" s="280">
        <v>11</v>
      </c>
      <c r="F26" s="284">
        <v>10</v>
      </c>
      <c r="G26" s="249">
        <f>IF(COUNT(E26,F26)&gt;0,$E26*$E$12*Schularbeitsplaner!C$10+$F26*$F$12*Schularbeitsplaner!C$16,"")</f>
        <v>65.625</v>
      </c>
      <c r="H26" s="247">
        <f t="shared" si="3"/>
        <v>65.625</v>
      </c>
      <c r="I26" s="293">
        <v>18</v>
      </c>
      <c r="J26" s="286">
        <v>9</v>
      </c>
      <c r="K26" s="291">
        <v>10</v>
      </c>
      <c r="L26" s="291">
        <v>9</v>
      </c>
      <c r="M26" s="287">
        <v>8</v>
      </c>
      <c r="N26" s="74">
        <f>IF(COUNT(J26:M26)&gt;0,IF(J26&gt;0,SUM(J26:M26)*Schularbeitsplaner!C$30,0),"")</f>
        <v>36</v>
      </c>
      <c r="O26" s="84"/>
      <c r="P26" s="78"/>
      <c r="Q26" s="78"/>
      <c r="R26" s="79"/>
      <c r="S26" s="75" t="str">
        <f>IF(COUNT(O26:R26)&gt;0,IF(O26&gt;0,(O26+P26+Q26+R26)*Schularbeitsplaner!C$31,0),"")</f>
        <v/>
      </c>
      <c r="T26" s="253">
        <f t="shared" si="1"/>
        <v>81</v>
      </c>
      <c r="U26" s="252">
        <f t="shared" si="4"/>
        <v>81</v>
      </c>
      <c r="V26" s="153"/>
      <c r="W26" s="165">
        <f t="shared" si="5"/>
        <v>146.625</v>
      </c>
      <c r="X26" s="232">
        <f t="shared" si="6"/>
        <v>146.625</v>
      </c>
      <c r="Y26" s="73" t="str">
        <f t="shared" si="2"/>
        <v>3</v>
      </c>
      <c r="Z26" s="160"/>
      <c r="AA26" s="145" t="str">
        <f>""</f>
        <v/>
      </c>
      <c r="AB26" s="145"/>
      <c r="AC26" s="145"/>
      <c r="AD26" s="145"/>
      <c r="AE26" s="145"/>
    </row>
    <row r="27" spans="2:32">
      <c r="B27" s="3">
        <f t="shared" si="7"/>
        <v>6</v>
      </c>
      <c r="C27" s="8" t="s">
        <v>88</v>
      </c>
      <c r="D27" s="278"/>
      <c r="E27" s="280">
        <v>15</v>
      </c>
      <c r="F27" s="284">
        <v>14</v>
      </c>
      <c r="G27" s="249">
        <f>IF(COUNT(E27,F27)&gt;0,$E27*$E$12*Schularbeitsplaner!C$10+$F27*$F$12*Schularbeitsplaner!C$16,"")</f>
        <v>90.625</v>
      </c>
      <c r="H27" s="247">
        <f t="shared" si="3"/>
        <v>90.625</v>
      </c>
      <c r="I27" s="292">
        <v>22</v>
      </c>
      <c r="J27" s="286">
        <v>10</v>
      </c>
      <c r="K27" s="291">
        <v>10</v>
      </c>
      <c r="L27" s="291">
        <v>10</v>
      </c>
      <c r="M27" s="287">
        <v>10</v>
      </c>
      <c r="N27" s="74">
        <f>IF(COUNT(J27:M27)&gt;0,IF(J27&gt;0,SUM(J27:M27)*Schularbeitsplaner!C$30,0),"")</f>
        <v>40</v>
      </c>
      <c r="O27" s="84"/>
      <c r="P27" s="78"/>
      <c r="Q27" s="78"/>
      <c r="R27" s="79"/>
      <c r="S27" s="75" t="str">
        <f>IF(COUNT(O27:R27)&gt;0,IF(O27&gt;0,(O27+P27+Q27+R27)*Schularbeitsplaner!C$31,0),"")</f>
        <v/>
      </c>
      <c r="T27" s="253">
        <f t="shared" si="1"/>
        <v>94</v>
      </c>
      <c r="U27" s="252">
        <f t="shared" si="4"/>
        <v>94</v>
      </c>
      <c r="V27" s="153"/>
      <c r="W27" s="165">
        <f t="shared" si="5"/>
        <v>184.625</v>
      </c>
      <c r="X27" s="232">
        <f t="shared" si="6"/>
        <v>184.625</v>
      </c>
      <c r="Y27" s="73" t="str">
        <f t="shared" si="2"/>
        <v>1</v>
      </c>
      <c r="Z27" s="160"/>
      <c r="AA27" s="409" t="s">
        <v>80</v>
      </c>
      <c r="AB27" s="409"/>
      <c r="AC27" s="409"/>
      <c r="AD27" s="409"/>
      <c r="AE27" s="409"/>
    </row>
    <row r="28" spans="2:32" ht="15.75" customHeight="1">
      <c r="B28" s="3">
        <f t="shared" si="7"/>
        <v>7</v>
      </c>
      <c r="C28" s="8" t="s">
        <v>89</v>
      </c>
      <c r="D28" s="278"/>
      <c r="E28" s="280">
        <v>13</v>
      </c>
      <c r="F28" s="284">
        <v>10</v>
      </c>
      <c r="G28" s="249">
        <f>IF(COUNT(E28,F28)&gt;0,$E28*$E$12*Schularbeitsplaner!C$10+$F28*$F$12*Schularbeitsplaner!C$16,"")</f>
        <v>71.875</v>
      </c>
      <c r="H28" s="247">
        <f t="shared" si="3"/>
        <v>71.875</v>
      </c>
      <c r="I28" s="292">
        <v>16</v>
      </c>
      <c r="J28" s="286">
        <v>7</v>
      </c>
      <c r="K28" s="291">
        <v>8</v>
      </c>
      <c r="L28" s="291">
        <v>7</v>
      </c>
      <c r="M28" s="287">
        <v>6</v>
      </c>
      <c r="N28" s="74">
        <f>IF(COUNT(J28:M28)&gt;0,IF(J28&gt;0,SUM(J28:M28)*Schularbeitsplaner!C$30,0),"")</f>
        <v>28</v>
      </c>
      <c r="O28" s="84"/>
      <c r="P28" s="78"/>
      <c r="Q28" s="78"/>
      <c r="R28" s="79"/>
      <c r="S28" s="75" t="str">
        <f>IF(COUNT(O28:R28)&gt;0,IF(O28&gt;0,(O28+P28+Q28+R28)*Schularbeitsplaner!C$31,0),"")</f>
        <v/>
      </c>
      <c r="T28" s="253">
        <f t="shared" si="1"/>
        <v>67</v>
      </c>
      <c r="U28" s="252">
        <f t="shared" si="4"/>
        <v>67</v>
      </c>
      <c r="V28" s="153"/>
      <c r="W28" s="165">
        <f t="shared" si="5"/>
        <v>138.875</v>
      </c>
      <c r="X28" s="232">
        <f t="shared" si="6"/>
        <v>138.875</v>
      </c>
      <c r="Y28" s="73" t="str">
        <f t="shared" si="2"/>
        <v>4</v>
      </c>
      <c r="Z28" s="160"/>
      <c r="AA28" s="145"/>
      <c r="AB28" s="145"/>
      <c r="AC28" s="145"/>
      <c r="AD28" s="145"/>
      <c r="AE28" s="145"/>
    </row>
    <row r="29" spans="2:32">
      <c r="B29" s="3">
        <f t="shared" si="7"/>
        <v>8</v>
      </c>
      <c r="C29" s="8" t="s">
        <v>90</v>
      </c>
      <c r="D29" s="278"/>
      <c r="E29" s="280">
        <v>16</v>
      </c>
      <c r="F29" s="284">
        <v>11</v>
      </c>
      <c r="G29" s="249">
        <f>IF(COUNT(E29,F29)&gt;0,$E29*$E$12*Schularbeitsplaner!C$10+$F29*$F$12*Schularbeitsplaner!C$16,"")</f>
        <v>84.375</v>
      </c>
      <c r="H29" s="247">
        <f t="shared" si="3"/>
        <v>84.375</v>
      </c>
      <c r="I29" s="292">
        <v>24</v>
      </c>
      <c r="J29" s="286">
        <v>10</v>
      </c>
      <c r="K29" s="291">
        <v>10</v>
      </c>
      <c r="L29" s="291">
        <v>10</v>
      </c>
      <c r="M29" s="287">
        <v>9</v>
      </c>
      <c r="N29" s="74">
        <f>IF(COUNT(J29:M29)&gt;0,IF(J29&gt;0,SUM(J29:M29)*Schularbeitsplaner!C$30,0),"")</f>
        <v>39</v>
      </c>
      <c r="O29" s="84"/>
      <c r="P29" s="78"/>
      <c r="Q29" s="78"/>
      <c r="R29" s="79"/>
      <c r="S29" s="75" t="str">
        <f>IF(COUNT(O29:R29)&gt;0,IF(O29&gt;0,(O29+P29+Q29+R29)*Schularbeitsplaner!C$31,0),"")</f>
        <v/>
      </c>
      <c r="T29" s="253">
        <f t="shared" si="1"/>
        <v>96.75</v>
      </c>
      <c r="U29" s="252">
        <f t="shared" si="4"/>
        <v>96.75</v>
      </c>
      <c r="V29" s="153"/>
      <c r="W29" s="165">
        <f t="shared" si="5"/>
        <v>181.125</v>
      </c>
      <c r="X29" s="232">
        <f t="shared" si="6"/>
        <v>181.125</v>
      </c>
      <c r="Y29" s="73" t="str">
        <f t="shared" si="2"/>
        <v>1</v>
      </c>
      <c r="Z29" s="160"/>
      <c r="AA29" s="145"/>
      <c r="AB29" s="178"/>
      <c r="AC29" s="145"/>
      <c r="AD29" s="145"/>
      <c r="AE29" s="145"/>
    </row>
    <row r="30" spans="2:32">
      <c r="B30" s="3">
        <f t="shared" si="7"/>
        <v>9</v>
      </c>
      <c r="C30" s="8" t="s">
        <v>91</v>
      </c>
      <c r="D30" s="278"/>
      <c r="E30" s="285">
        <v>11</v>
      </c>
      <c r="F30" s="282">
        <v>13</v>
      </c>
      <c r="G30" s="250">
        <f>IF(COUNT(E30,F30)&gt;0,$E30*$E$12*Schularbeitsplaner!C$10+$F30*$F$12*Schularbeitsplaner!C$16,"")</f>
        <v>75</v>
      </c>
      <c r="H30" s="247">
        <f t="shared" si="3"/>
        <v>75</v>
      </c>
      <c r="I30" s="292">
        <v>17</v>
      </c>
      <c r="J30" s="286">
        <v>6</v>
      </c>
      <c r="K30" s="291">
        <v>7</v>
      </c>
      <c r="L30" s="291">
        <v>8</v>
      </c>
      <c r="M30" s="287">
        <v>8</v>
      </c>
      <c r="N30" s="74">
        <f>IF(COUNT(J30:M30)&gt;0,IF(J30&gt;0,SUM(J30:M30)*Schularbeitsplaner!C$30,0),"")</f>
        <v>29</v>
      </c>
      <c r="O30" s="84"/>
      <c r="P30" s="78"/>
      <c r="Q30" s="78"/>
      <c r="R30" s="79"/>
      <c r="S30" s="75" t="str">
        <f>IF(COUNT(O30:R30)&gt;0,IF(O30&gt;0,(O30+P30+Q30+R30)*Schularbeitsplaner!C$31,0),"")</f>
        <v/>
      </c>
      <c r="T30" s="253">
        <f t="shared" si="1"/>
        <v>70.25</v>
      </c>
      <c r="U30" s="252">
        <f t="shared" si="4"/>
        <v>70.25</v>
      </c>
      <c r="V30" s="153"/>
      <c r="W30" s="165">
        <f t="shared" si="5"/>
        <v>145.25</v>
      </c>
      <c r="X30" s="232">
        <f t="shared" si="6"/>
        <v>145.25</v>
      </c>
      <c r="Y30" s="73" t="str">
        <f t="shared" si="2"/>
        <v>3</v>
      </c>
      <c r="Z30" s="160"/>
      <c r="AA30" s="178"/>
      <c r="AB30" s="178"/>
      <c r="AC30" s="145"/>
      <c r="AD30" s="178"/>
      <c r="AE30" s="145"/>
    </row>
    <row r="31" spans="2:32">
      <c r="B31" s="3">
        <f t="shared" si="7"/>
        <v>10</v>
      </c>
      <c r="C31" s="8" t="s">
        <v>92</v>
      </c>
      <c r="D31" s="278"/>
      <c r="E31" s="280">
        <v>12</v>
      </c>
      <c r="F31" s="283">
        <v>10</v>
      </c>
      <c r="G31" s="249">
        <f>IF(COUNT(E31,F31)&gt;0,$E31*$E$12*Schularbeitsplaner!C$10+$F31*$F$12*Schularbeitsplaner!C$16,"")</f>
        <v>68.75</v>
      </c>
      <c r="H31" s="247">
        <f t="shared" si="3"/>
        <v>68.75</v>
      </c>
      <c r="I31" s="292">
        <v>20</v>
      </c>
      <c r="J31" s="286">
        <v>8</v>
      </c>
      <c r="K31" s="291">
        <v>7</v>
      </c>
      <c r="L31" s="291">
        <v>7</v>
      </c>
      <c r="M31" s="287">
        <v>6</v>
      </c>
      <c r="N31" s="74">
        <f>IF(COUNT(J31:M31)&gt;0,IF(J31&gt;0,SUM(J31:M31)*Schularbeitsplaner!C$30,0),"")</f>
        <v>28</v>
      </c>
      <c r="O31" s="84"/>
      <c r="P31" s="78"/>
      <c r="Q31" s="78"/>
      <c r="R31" s="79"/>
      <c r="S31" s="75" t="str">
        <f>IF(COUNT(O31:R31)&gt;0,IF(O31&gt;0,(O31+P31+Q31+R31)*Schularbeitsplaner!C$31,0),"")</f>
        <v/>
      </c>
      <c r="T31" s="253">
        <f t="shared" si="1"/>
        <v>75</v>
      </c>
      <c r="U31" s="252">
        <f t="shared" si="4"/>
        <v>75</v>
      </c>
      <c r="V31" s="153"/>
      <c r="W31" s="165">
        <f t="shared" si="5"/>
        <v>143.75</v>
      </c>
      <c r="X31" s="232">
        <f t="shared" si="6"/>
        <v>143.75</v>
      </c>
      <c r="Y31" s="73" t="str">
        <f t="shared" si="2"/>
        <v>3</v>
      </c>
      <c r="Z31" s="160"/>
      <c r="AA31" s="145"/>
      <c r="AB31" s="145"/>
      <c r="AC31" s="145"/>
      <c r="AD31" s="145"/>
      <c r="AE31" s="145"/>
    </row>
    <row r="32" spans="2:32">
      <c r="B32" s="3">
        <f t="shared" si="7"/>
        <v>11</v>
      </c>
      <c r="C32" s="8" t="s">
        <v>93</v>
      </c>
      <c r="D32" s="278"/>
      <c r="E32" s="64">
        <v>13</v>
      </c>
      <c r="F32" s="82">
        <v>7</v>
      </c>
      <c r="G32" s="249">
        <f>IF(COUNT(E32,F32)&gt;0,$E32*$E$12*Schularbeitsplaner!C$10+$F32*$F$12*Schularbeitsplaner!C$16,"")</f>
        <v>62.5</v>
      </c>
      <c r="H32" s="247">
        <f t="shared" si="3"/>
        <v>62.5</v>
      </c>
      <c r="I32" s="230">
        <v>17</v>
      </c>
      <c r="J32" s="65">
        <v>9</v>
      </c>
      <c r="K32" s="83">
        <v>9</v>
      </c>
      <c r="L32" s="83">
        <v>8</v>
      </c>
      <c r="M32" s="79">
        <v>7</v>
      </c>
      <c r="N32" s="74">
        <f>IF(COUNT(J32:M32)&gt;0,IF(J32&gt;0,SUM(J32:M32)*Schularbeitsplaner!C$30,0),"")</f>
        <v>33</v>
      </c>
      <c r="O32" s="84"/>
      <c r="P32" s="78"/>
      <c r="Q32" s="78"/>
      <c r="R32" s="79"/>
      <c r="S32" s="75" t="str">
        <f>IF(COUNT(O32:R32)&gt;0,IF(O32&gt;0,(O32+P32+Q32+R32)*Schularbeitsplaner!C$31,0),"")</f>
        <v/>
      </c>
      <c r="T32" s="253">
        <f t="shared" si="1"/>
        <v>75.25</v>
      </c>
      <c r="U32" s="252">
        <f t="shared" si="4"/>
        <v>75.25</v>
      </c>
      <c r="V32" s="153"/>
      <c r="W32" s="165">
        <f t="shared" si="5"/>
        <v>137.75</v>
      </c>
      <c r="X32" s="232">
        <f t="shared" si="6"/>
        <v>137.75</v>
      </c>
      <c r="Y32" s="73" t="str">
        <f t="shared" si="2"/>
        <v>4</v>
      </c>
      <c r="Z32" s="160"/>
      <c r="AA32" s="178"/>
      <c r="AB32" s="145"/>
      <c r="AC32" s="145"/>
      <c r="AD32" s="145"/>
      <c r="AE32" s="145"/>
    </row>
    <row r="33" spans="2:31">
      <c r="B33" s="3">
        <f t="shared" si="7"/>
        <v>12</v>
      </c>
      <c r="C33" s="8" t="s">
        <v>94</v>
      </c>
      <c r="D33" s="278"/>
      <c r="E33" s="64">
        <v>12</v>
      </c>
      <c r="F33" s="80">
        <v>12</v>
      </c>
      <c r="G33" s="249">
        <f>IF(COUNT(E33,F33)&gt;0,$E33*$E$12*Schularbeitsplaner!C$10+$F33*$F$12*Schularbeitsplaner!C$16,"")</f>
        <v>75</v>
      </c>
      <c r="H33" s="247">
        <f t="shared" si="3"/>
        <v>75</v>
      </c>
      <c r="I33" s="230">
        <v>20</v>
      </c>
      <c r="J33" s="65">
        <v>5</v>
      </c>
      <c r="K33" s="83">
        <v>7</v>
      </c>
      <c r="L33" s="83">
        <v>7</v>
      </c>
      <c r="M33" s="79">
        <v>6</v>
      </c>
      <c r="N33" s="74">
        <f>IF(COUNT(J33:M33)&gt;0,IF(J33&gt;0,SUM(J33:M33)*Schularbeitsplaner!C$30,0),"")</f>
        <v>25</v>
      </c>
      <c r="O33" s="84"/>
      <c r="P33" s="78"/>
      <c r="Q33" s="78"/>
      <c r="R33" s="79"/>
      <c r="S33" s="75" t="str">
        <f>IF(COUNT(O33:R33)&gt;0,IF(O33&gt;0,(O33+P33+Q33+R33)*Schularbeitsplaner!C$31,0),"")</f>
        <v/>
      </c>
      <c r="T33" s="253">
        <f t="shared" si="1"/>
        <v>71.25</v>
      </c>
      <c r="U33" s="252">
        <f t="shared" si="4"/>
        <v>71.25</v>
      </c>
      <c r="V33" s="153"/>
      <c r="W33" s="165">
        <f t="shared" si="5"/>
        <v>146.25</v>
      </c>
      <c r="X33" s="232">
        <f t="shared" si="6"/>
        <v>146.25</v>
      </c>
      <c r="Y33" s="73" t="str">
        <f t="shared" si="2"/>
        <v>3</v>
      </c>
      <c r="Z33" s="160"/>
      <c r="AA33" s="145"/>
      <c r="AB33" s="145"/>
      <c r="AC33" s="145"/>
      <c r="AD33" s="145"/>
      <c r="AE33" s="145"/>
    </row>
    <row r="34" spans="2:31">
      <c r="B34" s="3">
        <f t="shared" si="7"/>
        <v>13</v>
      </c>
      <c r="C34" s="8"/>
      <c r="D34" s="15"/>
      <c r="E34" s="64"/>
      <c r="F34" s="81"/>
      <c r="G34" s="250" t="str">
        <f>IF(COUNT(E34,F34)&gt;0,$E34*$E$12*Schularbeitsplaner!C$10+$F34*$F$12*Schularbeitsplaner!C$16,"")</f>
        <v/>
      </c>
      <c r="H34" s="247" t="str">
        <f t="shared" si="3"/>
        <v/>
      </c>
      <c r="I34" s="230"/>
      <c r="J34" s="65"/>
      <c r="K34" s="83"/>
      <c r="L34" s="83"/>
      <c r="M34" s="79"/>
      <c r="N34" s="74" t="str">
        <f>IF(COUNT(J34:M34)&gt;0,IF(J34&gt;0,SUM(J34:M34)*Schularbeitsplaner!C$30,0),"")</f>
        <v/>
      </c>
      <c r="O34" s="84"/>
      <c r="P34" s="78"/>
      <c r="Q34" s="78"/>
      <c r="R34" s="79"/>
      <c r="S34" s="75" t="str">
        <f>IF(COUNT(O34:R34)&gt;0,IF(O34&gt;0,(O34+P34+Q34+R34)*Schularbeitsplaner!C$31,0),"")</f>
        <v/>
      </c>
      <c r="T34" s="253" t="str">
        <f t="shared" si="1"/>
        <v/>
      </c>
      <c r="U34" s="252" t="str">
        <f t="shared" si="4"/>
        <v/>
      </c>
      <c r="V34" s="153"/>
      <c r="W34" s="165">
        <f t="shared" si="5"/>
        <v>0</v>
      </c>
      <c r="X34" s="232" t="str">
        <f t="shared" si="6"/>
        <v/>
      </c>
      <c r="Y34" s="73" t="str">
        <f t="shared" si="2"/>
        <v/>
      </c>
      <c r="Z34" s="160"/>
      <c r="AA34" s="145"/>
      <c r="AB34" s="145"/>
      <c r="AC34" s="145"/>
      <c r="AD34" s="145"/>
      <c r="AE34" s="145"/>
    </row>
    <row r="35" spans="2:31">
      <c r="B35" s="3">
        <f t="shared" si="7"/>
        <v>14</v>
      </c>
      <c r="C35" s="8"/>
      <c r="D35" s="15"/>
      <c r="E35" s="64"/>
      <c r="F35" s="82"/>
      <c r="G35" s="250" t="str">
        <f>IF(COUNT(E35,F35)&gt;0,$E35*$E$12*Schularbeitsplaner!C$10+$F35*$F$12*Schularbeitsplaner!C$16,"")</f>
        <v/>
      </c>
      <c r="H35" s="248" t="str">
        <f t="shared" si="3"/>
        <v/>
      </c>
      <c r="I35" s="230"/>
      <c r="J35" s="65"/>
      <c r="K35" s="83"/>
      <c r="L35" s="83"/>
      <c r="M35" s="79"/>
      <c r="N35" s="74" t="str">
        <f>IF(COUNT(J35:M35)&gt;0,IF(J35&gt;0,SUM(J35:M35)*Schularbeitsplaner!C$30,0),"")</f>
        <v/>
      </c>
      <c r="O35" s="84"/>
      <c r="P35" s="78"/>
      <c r="Q35" s="78"/>
      <c r="R35" s="79"/>
      <c r="S35" s="75" t="str">
        <f>IF(COUNT(O35:R35)&gt;0,IF(O35&gt;0,(O35+P35+Q35+R35)*Schularbeitsplaner!C$31,0),"")</f>
        <v/>
      </c>
      <c r="T35" s="253" t="str">
        <f t="shared" si="1"/>
        <v/>
      </c>
      <c r="U35" s="252" t="str">
        <f t="shared" si="4"/>
        <v/>
      </c>
      <c r="V35" s="153"/>
      <c r="W35" s="165">
        <f t="shared" si="5"/>
        <v>0</v>
      </c>
      <c r="X35" s="232" t="str">
        <f t="shared" si="6"/>
        <v/>
      </c>
      <c r="Y35" s="73" t="str">
        <f t="shared" si="2"/>
        <v/>
      </c>
      <c r="Z35" s="160"/>
      <c r="AA35" s="145"/>
      <c r="AB35" s="145"/>
      <c r="AC35" s="145"/>
      <c r="AD35" s="145"/>
      <c r="AE35" s="145"/>
    </row>
    <row r="36" spans="2:31">
      <c r="B36" s="3">
        <f t="shared" si="7"/>
        <v>15</v>
      </c>
      <c r="C36" s="8"/>
      <c r="D36" s="15"/>
      <c r="E36" s="64"/>
      <c r="F36" s="82"/>
      <c r="G36" s="251" t="str">
        <f>IF(COUNT(E36,F36)&gt;0,$E36*$E$12*Schularbeitsplaner!C$10+$F36*$F$12*Schularbeitsplaner!C$16,"")</f>
        <v/>
      </c>
      <c r="H36" s="247" t="str">
        <f t="shared" si="3"/>
        <v/>
      </c>
      <c r="I36" s="230"/>
      <c r="J36" s="65"/>
      <c r="K36" s="83"/>
      <c r="L36" s="83"/>
      <c r="M36" s="79"/>
      <c r="N36" s="74" t="str">
        <f>IF(COUNT(J36:M36)&gt;0,IF(J36&gt;0,SUM(J36:M36)*Schularbeitsplaner!C$30,0),"")</f>
        <v/>
      </c>
      <c r="O36" s="84"/>
      <c r="P36" s="78"/>
      <c r="Q36" s="78"/>
      <c r="R36" s="79"/>
      <c r="S36" s="75" t="str">
        <f>IF(COUNT(O36:R36)&gt;0,IF(O36&gt;0,(O36+P36+Q36+R36)*Schularbeitsplaner!C$31,0),"")</f>
        <v/>
      </c>
      <c r="T36" s="253" t="str">
        <f t="shared" si="1"/>
        <v/>
      </c>
      <c r="U36" s="252" t="str">
        <f t="shared" si="4"/>
        <v/>
      </c>
      <c r="V36" s="153"/>
      <c r="W36" s="165">
        <f t="shared" si="5"/>
        <v>0</v>
      </c>
      <c r="X36" s="232" t="str">
        <f t="shared" si="6"/>
        <v/>
      </c>
      <c r="Y36" s="73" t="str">
        <f t="shared" si="2"/>
        <v/>
      </c>
      <c r="Z36" s="160"/>
      <c r="AA36" s="145"/>
      <c r="AB36" s="145"/>
      <c r="AC36" s="145"/>
      <c r="AD36" s="145"/>
      <c r="AE36" s="145"/>
    </row>
    <row r="37" spans="2:31">
      <c r="B37" s="3">
        <f t="shared" si="7"/>
        <v>16</v>
      </c>
      <c r="C37" s="8"/>
      <c r="D37" s="15"/>
      <c r="E37" s="64"/>
      <c r="F37" s="82"/>
      <c r="G37" s="249" t="str">
        <f>IF(COUNT(E37,F37)&gt;0,$E37*$E$12*Schularbeitsplaner!C$10+$F37*$F$12*Schularbeitsplaner!C$16,"")</f>
        <v/>
      </c>
      <c r="H37" s="247" t="str">
        <f t="shared" si="3"/>
        <v/>
      </c>
      <c r="I37" s="230"/>
      <c r="J37" s="65"/>
      <c r="K37" s="83"/>
      <c r="L37" s="83"/>
      <c r="M37" s="79"/>
      <c r="N37" s="74" t="str">
        <f>IF(COUNT(J37:M37)&gt;0,IF(J37&gt;0,SUM(J37:M37)*Schularbeitsplaner!C$30,0),"")</f>
        <v/>
      </c>
      <c r="O37" s="84"/>
      <c r="P37" s="78"/>
      <c r="Q37" s="78"/>
      <c r="R37" s="79"/>
      <c r="S37" s="75" t="str">
        <f>IF(COUNT(O37:R37)&gt;0,IF(O37&gt;0,(O37+P37+Q37+R37)*Schularbeitsplaner!C$31,0),"")</f>
        <v/>
      </c>
      <c r="T37" s="253" t="str">
        <f t="shared" si="1"/>
        <v/>
      </c>
      <c r="U37" s="252" t="str">
        <f t="shared" si="4"/>
        <v/>
      </c>
      <c r="V37" s="153"/>
      <c r="W37" s="165">
        <f t="shared" si="5"/>
        <v>0</v>
      </c>
      <c r="X37" s="232" t="str">
        <f t="shared" si="6"/>
        <v/>
      </c>
      <c r="Y37" s="73" t="str">
        <f t="shared" si="2"/>
        <v/>
      </c>
      <c r="Z37" s="160"/>
      <c r="AA37" s="145"/>
      <c r="AB37" s="145"/>
      <c r="AC37" s="145"/>
      <c r="AD37" s="145"/>
      <c r="AE37" s="145"/>
    </row>
    <row r="38" spans="2:31">
      <c r="B38" s="3">
        <f t="shared" si="7"/>
        <v>17</v>
      </c>
      <c r="C38" s="8"/>
      <c r="D38" s="15"/>
      <c r="E38" s="64"/>
      <c r="F38" s="82"/>
      <c r="G38" s="249" t="str">
        <f>IF(COUNT(E38,F38)&gt;0,$E38*$E$12*Schularbeitsplaner!C$10+$F38*$F$12*Schularbeitsplaner!C$16,"")</f>
        <v/>
      </c>
      <c r="H38" s="247" t="str">
        <f t="shared" si="3"/>
        <v/>
      </c>
      <c r="I38" s="230"/>
      <c r="J38" s="65"/>
      <c r="K38" s="83"/>
      <c r="L38" s="83"/>
      <c r="M38" s="79"/>
      <c r="N38" s="74" t="str">
        <f>IF(COUNT(J38:M38)&gt;0,IF(J38&gt;0,SUM(J38:M38)*Schularbeitsplaner!C$30,0),"")</f>
        <v/>
      </c>
      <c r="O38" s="84"/>
      <c r="P38" s="78"/>
      <c r="Q38" s="78"/>
      <c r="R38" s="79"/>
      <c r="S38" s="75" t="str">
        <f>IF(COUNT(O38:R38)&gt;0,IF(O38&gt;0,(O38+P38+Q38+R38)*Schularbeitsplaner!C$31,0),"")</f>
        <v/>
      </c>
      <c r="T38" s="253" t="str">
        <f t="shared" si="1"/>
        <v/>
      </c>
      <c r="U38" s="252" t="str">
        <f t="shared" si="4"/>
        <v/>
      </c>
      <c r="V38" s="153"/>
      <c r="W38" s="165">
        <f t="shared" si="5"/>
        <v>0</v>
      </c>
      <c r="X38" s="232" t="str">
        <f t="shared" si="6"/>
        <v/>
      </c>
      <c r="Y38" s="73" t="str">
        <f t="shared" si="2"/>
        <v/>
      </c>
      <c r="Z38" s="160"/>
      <c r="AA38" s="409" t="s">
        <v>81</v>
      </c>
      <c r="AB38" s="409"/>
      <c r="AC38" s="409"/>
      <c r="AD38" s="409"/>
      <c r="AE38" s="409"/>
    </row>
    <row r="39" spans="2:31">
      <c r="B39" s="3">
        <f t="shared" si="7"/>
        <v>18</v>
      </c>
      <c r="C39" s="8"/>
      <c r="D39" s="15"/>
      <c r="E39" s="64"/>
      <c r="F39" s="82"/>
      <c r="G39" s="249" t="str">
        <f>IF(COUNT(E39,F39)&gt;0,$E39*$E$12*Schularbeitsplaner!C$10+$F39*$F$12*Schularbeitsplaner!C$16,"")</f>
        <v/>
      </c>
      <c r="H39" s="247" t="str">
        <f t="shared" si="3"/>
        <v/>
      </c>
      <c r="I39" s="230"/>
      <c r="J39" s="65"/>
      <c r="K39" s="83"/>
      <c r="L39" s="83"/>
      <c r="M39" s="79"/>
      <c r="N39" s="74" t="str">
        <f>IF(COUNT(J39:M39)&gt;0,IF(J39&gt;0,SUM(J39:M39)*Schularbeitsplaner!C$30,0),"")</f>
        <v/>
      </c>
      <c r="O39" s="84"/>
      <c r="P39" s="78"/>
      <c r="Q39" s="78"/>
      <c r="R39" s="79"/>
      <c r="S39" s="75" t="str">
        <f>IF(COUNT(O39:R39)&gt;0,IF(O39&gt;0,(O39+P39+Q39+R39)*Schularbeitsplaner!C$31,0),"")</f>
        <v/>
      </c>
      <c r="T39" s="253" t="str">
        <f t="shared" si="1"/>
        <v/>
      </c>
      <c r="U39" s="252" t="str">
        <f t="shared" si="4"/>
        <v/>
      </c>
      <c r="V39" s="153"/>
      <c r="W39" s="165">
        <f t="shared" si="5"/>
        <v>0</v>
      </c>
      <c r="X39" s="232" t="str">
        <f t="shared" si="6"/>
        <v/>
      </c>
      <c r="Y39" s="73" t="str">
        <f t="shared" si="2"/>
        <v/>
      </c>
      <c r="Z39" s="160"/>
      <c r="AA39" s="145"/>
      <c r="AB39" s="145"/>
      <c r="AC39" s="145"/>
      <c r="AD39" s="145"/>
      <c r="AE39" s="145"/>
    </row>
    <row r="40" spans="2:31">
      <c r="B40" s="3">
        <f t="shared" si="7"/>
        <v>19</v>
      </c>
      <c r="C40" s="8"/>
      <c r="D40" s="15"/>
      <c r="E40" s="64"/>
      <c r="F40" s="82"/>
      <c r="G40" s="249" t="str">
        <f>IF(COUNT(E40,F40)&gt;0,$E40*$E$12*Schularbeitsplaner!C$10+$F40*$F$12*Schularbeitsplaner!C$16,"")</f>
        <v/>
      </c>
      <c r="H40" s="247" t="str">
        <f t="shared" si="3"/>
        <v/>
      </c>
      <c r="I40" s="230"/>
      <c r="J40" s="65"/>
      <c r="K40" s="83"/>
      <c r="L40" s="83"/>
      <c r="M40" s="79"/>
      <c r="N40" s="74" t="str">
        <f>IF(COUNT(J40:M40)&gt;0,IF(J40&gt;0,SUM(J40:M40)*Schularbeitsplaner!C$30,0),"")</f>
        <v/>
      </c>
      <c r="O40" s="84"/>
      <c r="P40" s="78"/>
      <c r="Q40" s="78"/>
      <c r="R40" s="79"/>
      <c r="S40" s="75" t="str">
        <f>IF(COUNT(O40:R40)&gt;0,IF(O40&gt;0,(O40+P40+Q40+R40)*Schularbeitsplaner!C$31,0),"")</f>
        <v/>
      </c>
      <c r="T40" s="253" t="str">
        <f t="shared" si="1"/>
        <v/>
      </c>
      <c r="U40" s="252" t="str">
        <f t="shared" si="4"/>
        <v/>
      </c>
      <c r="V40" s="153"/>
      <c r="W40" s="165">
        <f t="shared" si="5"/>
        <v>0</v>
      </c>
      <c r="X40" s="232" t="str">
        <f t="shared" si="6"/>
        <v/>
      </c>
      <c r="Y40" s="73" t="str">
        <f t="shared" si="2"/>
        <v/>
      </c>
      <c r="Z40" s="160"/>
      <c r="AA40" s="145"/>
      <c r="AB40" s="145"/>
      <c r="AC40" s="145"/>
      <c r="AD40" s="145"/>
      <c r="AE40" s="145"/>
    </row>
    <row r="41" spans="2:31">
      <c r="B41" s="3">
        <f t="shared" si="7"/>
        <v>20</v>
      </c>
      <c r="C41" s="8"/>
      <c r="D41" s="15"/>
      <c r="E41" s="64"/>
      <c r="F41" s="82"/>
      <c r="G41" s="250" t="str">
        <f>IF(COUNT(E41,F41)&gt;0,$E41*$E$12*Schularbeitsplaner!C$10+$F41*$F$12*Schularbeitsplaner!C$16,"")</f>
        <v/>
      </c>
      <c r="H41" s="247" t="str">
        <f t="shared" si="3"/>
        <v/>
      </c>
      <c r="I41" s="230"/>
      <c r="J41" s="65"/>
      <c r="K41" s="83"/>
      <c r="L41" s="83"/>
      <c r="M41" s="79"/>
      <c r="N41" s="74" t="str">
        <f>IF(COUNT(J41:M41)&gt;0,IF(J41&gt;0,SUM(J41:M41)*Schularbeitsplaner!C$30,0),"")</f>
        <v/>
      </c>
      <c r="O41" s="84"/>
      <c r="P41" s="78"/>
      <c r="Q41" s="78"/>
      <c r="R41" s="79"/>
      <c r="S41" s="75" t="str">
        <f>IF(COUNT(O41:R41)&gt;0,IF(O41&gt;0,(O41+P41+Q41+R41)*Schularbeitsplaner!C$31,0),"")</f>
        <v/>
      </c>
      <c r="T41" s="253" t="str">
        <f t="shared" si="1"/>
        <v/>
      </c>
      <c r="U41" s="252" t="str">
        <f t="shared" si="4"/>
        <v/>
      </c>
      <c r="V41" s="153"/>
      <c r="W41" s="165">
        <f t="shared" si="5"/>
        <v>0</v>
      </c>
      <c r="X41" s="232" t="str">
        <f t="shared" si="6"/>
        <v/>
      </c>
      <c r="Y41" s="73" t="str">
        <f t="shared" si="2"/>
        <v/>
      </c>
      <c r="Z41" s="160"/>
      <c r="AA41" s="145"/>
      <c r="AB41" s="145"/>
      <c r="AC41" s="145"/>
      <c r="AD41" s="145"/>
      <c r="AE41" s="145"/>
    </row>
    <row r="42" spans="2:31">
      <c r="B42" s="3">
        <f t="shared" si="7"/>
        <v>21</v>
      </c>
      <c r="C42" s="8"/>
      <c r="D42" s="15"/>
      <c r="E42" s="64"/>
      <c r="F42" s="80"/>
      <c r="G42" s="249" t="str">
        <f>IF(COUNT(E42,F42)&gt;0,$E42*$E$12*Schularbeitsplaner!C$10+$F42*$F$12*Schularbeitsplaner!C$16,"")</f>
        <v/>
      </c>
      <c r="H42" s="247" t="str">
        <f t="shared" si="3"/>
        <v/>
      </c>
      <c r="I42" s="230"/>
      <c r="J42" s="65"/>
      <c r="K42" s="83"/>
      <c r="L42" s="83"/>
      <c r="M42" s="79"/>
      <c r="N42" s="74" t="str">
        <f>IF(COUNT(J42:M42)&gt;0,IF(J42&gt;0,SUM(J42:M42)*Schularbeitsplaner!C$30,0),"")</f>
        <v/>
      </c>
      <c r="O42" s="84"/>
      <c r="P42" s="78"/>
      <c r="Q42" s="78"/>
      <c r="R42" s="79"/>
      <c r="S42" s="75" t="str">
        <f>IF(COUNT(O42:R42)&gt;0,IF(O42&gt;0,(O42+P42+Q42+R42)*Schularbeitsplaner!C$31,0),"")</f>
        <v/>
      </c>
      <c r="T42" s="253" t="str">
        <f t="shared" si="1"/>
        <v/>
      </c>
      <c r="U42" s="252" t="str">
        <f t="shared" si="4"/>
        <v/>
      </c>
      <c r="V42" s="153"/>
      <c r="W42" s="165">
        <f t="shared" si="5"/>
        <v>0</v>
      </c>
      <c r="X42" s="232" t="str">
        <f t="shared" si="6"/>
        <v/>
      </c>
      <c r="Y42" s="73" t="str">
        <f t="shared" si="2"/>
        <v/>
      </c>
      <c r="Z42" s="160"/>
      <c r="AA42" s="145"/>
      <c r="AB42" s="145"/>
      <c r="AC42" s="145"/>
      <c r="AD42" s="145"/>
      <c r="AE42" s="145"/>
    </row>
    <row r="43" spans="2:31">
      <c r="B43" s="3">
        <f t="shared" si="7"/>
        <v>22</v>
      </c>
      <c r="C43" s="8"/>
      <c r="D43" s="15"/>
      <c r="E43" s="64"/>
      <c r="F43" s="82"/>
      <c r="G43" s="249" t="str">
        <f>IF(COUNT(E43,F43)&gt;0,$E43*$E$12*Schularbeitsplaner!C$10+$F43*$F$12*Schularbeitsplaner!C$16,"")</f>
        <v/>
      </c>
      <c r="H43" s="247" t="str">
        <f t="shared" si="3"/>
        <v/>
      </c>
      <c r="I43" s="230"/>
      <c r="J43" s="65"/>
      <c r="K43" s="83"/>
      <c r="L43" s="83"/>
      <c r="M43" s="79"/>
      <c r="N43" s="74" t="str">
        <f>IF(COUNT(J43:M43)&gt;0,IF(J43&gt;0,SUM(J43:M43)*Schularbeitsplaner!C$30,0),"")</f>
        <v/>
      </c>
      <c r="O43" s="84"/>
      <c r="P43" s="78"/>
      <c r="Q43" s="78"/>
      <c r="R43" s="79"/>
      <c r="S43" s="75" t="str">
        <f>IF(COUNT(O43:R43)&gt;0,IF(O43&gt;0,(O43+P43+Q43+R43)*Schularbeitsplaner!C$31,0),"")</f>
        <v/>
      </c>
      <c r="T43" s="253" t="str">
        <f t="shared" si="1"/>
        <v/>
      </c>
      <c r="U43" s="252" t="str">
        <f t="shared" si="4"/>
        <v/>
      </c>
      <c r="V43" s="153"/>
      <c r="W43" s="165">
        <f t="shared" si="5"/>
        <v>0</v>
      </c>
      <c r="X43" s="232" t="str">
        <f t="shared" si="6"/>
        <v/>
      </c>
      <c r="Y43" s="73" t="str">
        <f t="shared" si="2"/>
        <v/>
      </c>
      <c r="Z43" s="160"/>
      <c r="AA43" s="145"/>
      <c r="AB43" s="145"/>
      <c r="AC43" s="145"/>
      <c r="AD43" s="145"/>
      <c r="AE43" s="145"/>
    </row>
    <row r="44" spans="2:31">
      <c r="B44" s="3">
        <f t="shared" si="7"/>
        <v>23</v>
      </c>
      <c r="C44" s="8"/>
      <c r="D44" s="15"/>
      <c r="E44" s="64"/>
      <c r="F44" s="82"/>
      <c r="G44" s="249" t="str">
        <f>IF(COUNT(E44,F44)&gt;0,$E44*$E$12*Schularbeitsplaner!C$10+$F44*$F$12*Schularbeitsplaner!C$16,"")</f>
        <v/>
      </c>
      <c r="H44" s="247" t="str">
        <f t="shared" si="3"/>
        <v/>
      </c>
      <c r="I44" s="230"/>
      <c r="J44" s="65"/>
      <c r="K44" s="83"/>
      <c r="L44" s="83"/>
      <c r="M44" s="79"/>
      <c r="N44" s="74" t="str">
        <f>IF(COUNT(J44:M44)&gt;0,IF(J44&gt;0,SUM(J44:M44)*Schularbeitsplaner!C$30,0),"")</f>
        <v/>
      </c>
      <c r="O44" s="84"/>
      <c r="P44" s="78"/>
      <c r="Q44" s="78"/>
      <c r="R44" s="79"/>
      <c r="S44" s="75" t="str">
        <f>IF(COUNT(O44:R44)&gt;0,IF(O44&gt;0,(O44+P44+Q44+R44)*Schularbeitsplaner!C$31,0),"")</f>
        <v/>
      </c>
      <c r="T44" s="253" t="str">
        <f t="shared" si="1"/>
        <v/>
      </c>
      <c r="U44" s="252" t="str">
        <f t="shared" si="4"/>
        <v/>
      </c>
      <c r="V44" s="153"/>
      <c r="W44" s="165">
        <f t="shared" si="5"/>
        <v>0</v>
      </c>
      <c r="X44" s="232" t="str">
        <f t="shared" si="6"/>
        <v/>
      </c>
      <c r="Y44" s="73" t="str">
        <f t="shared" si="2"/>
        <v/>
      </c>
      <c r="Z44" s="160"/>
      <c r="AA44" s="145"/>
      <c r="AB44" s="145"/>
      <c r="AC44" s="145"/>
      <c r="AD44" s="145"/>
      <c r="AE44" s="145"/>
    </row>
    <row r="45" spans="2:31">
      <c r="B45" s="3">
        <f t="shared" si="7"/>
        <v>24</v>
      </c>
      <c r="C45" s="8"/>
      <c r="D45" s="15"/>
      <c r="E45" s="64"/>
      <c r="F45" s="82"/>
      <c r="G45" s="249" t="str">
        <f>IF(COUNT(E45,F45)&gt;0,$E45*$E$12*Schularbeitsplaner!C$10+$F45*$F$12*Schularbeitsplaner!C$16,"")</f>
        <v/>
      </c>
      <c r="H45" s="247" t="str">
        <f t="shared" si="3"/>
        <v/>
      </c>
      <c r="I45" s="230"/>
      <c r="J45" s="65"/>
      <c r="K45" s="83"/>
      <c r="L45" s="83"/>
      <c r="M45" s="79"/>
      <c r="N45" s="74" t="str">
        <f>IF(COUNT(J45:M45)&gt;0,IF(J45&gt;0,SUM(J45:M45)*Schularbeitsplaner!C$30,0),"")</f>
        <v/>
      </c>
      <c r="O45" s="84"/>
      <c r="P45" s="78"/>
      <c r="Q45" s="78"/>
      <c r="R45" s="79"/>
      <c r="S45" s="75" t="str">
        <f>IF(COUNT(O45:R45)&gt;0,IF(O45&gt;0,(O45+P45+Q45+R45)*Schularbeitsplaner!C$31,0),"")</f>
        <v/>
      </c>
      <c r="T45" s="253" t="str">
        <f t="shared" si="1"/>
        <v/>
      </c>
      <c r="U45" s="252" t="str">
        <f t="shared" si="4"/>
        <v/>
      </c>
      <c r="V45" s="153"/>
      <c r="W45" s="165">
        <f t="shared" si="5"/>
        <v>0</v>
      </c>
      <c r="X45" s="232" t="str">
        <f t="shared" si="6"/>
        <v/>
      </c>
      <c r="Y45" s="73" t="str">
        <f t="shared" si="2"/>
        <v/>
      </c>
      <c r="Z45" s="160"/>
      <c r="AA45" s="145"/>
      <c r="AB45" s="145"/>
      <c r="AC45" s="145"/>
      <c r="AD45" s="145"/>
      <c r="AE45" s="145"/>
    </row>
    <row r="46" spans="2:31">
      <c r="B46" s="3">
        <f t="shared" si="7"/>
        <v>25</v>
      </c>
      <c r="C46" s="8"/>
      <c r="D46" s="15"/>
      <c r="E46" s="64"/>
      <c r="F46" s="80"/>
      <c r="G46" s="249" t="str">
        <f>IF(COUNT(E46,F46)&gt;0,$E46*$E$12*Schularbeitsplaner!C$10+$F46*$F$12*Schularbeitsplaner!C$16,"")</f>
        <v/>
      </c>
      <c r="H46" s="247" t="str">
        <f t="shared" si="3"/>
        <v/>
      </c>
      <c r="I46" s="230"/>
      <c r="J46" s="65"/>
      <c r="K46" s="83"/>
      <c r="L46" s="83"/>
      <c r="M46" s="79"/>
      <c r="N46" s="74" t="str">
        <f>IF(COUNT(J46:M46)&gt;0,IF(J46&gt;0,SUM(J46:M46)*Schularbeitsplaner!C$30,0),"")</f>
        <v/>
      </c>
      <c r="O46" s="84"/>
      <c r="P46" s="78"/>
      <c r="Q46" s="78"/>
      <c r="R46" s="79"/>
      <c r="S46" s="75" t="str">
        <f>IF(COUNT(O46:R46)&gt;0,IF(O46&gt;0,(O46+P46+Q46+R46)*Schularbeitsplaner!C$31,0),"")</f>
        <v/>
      </c>
      <c r="T46" s="253" t="str">
        <f t="shared" si="1"/>
        <v/>
      </c>
      <c r="U46" s="252" t="str">
        <f t="shared" si="4"/>
        <v/>
      </c>
      <c r="V46" s="153"/>
      <c r="W46" s="165">
        <f t="shared" si="5"/>
        <v>0</v>
      </c>
      <c r="X46" s="232" t="str">
        <f t="shared" si="6"/>
        <v/>
      </c>
      <c r="Y46" s="73" t="str">
        <f t="shared" si="2"/>
        <v/>
      </c>
      <c r="Z46" s="160"/>
      <c r="AA46" s="145"/>
      <c r="AB46" s="145"/>
      <c r="AC46" s="145"/>
      <c r="AD46" s="145"/>
      <c r="AE46" s="145"/>
    </row>
    <row r="47" spans="2:31">
      <c r="B47" s="3">
        <f t="shared" si="7"/>
        <v>26</v>
      </c>
      <c r="C47" s="8"/>
      <c r="D47" s="15"/>
      <c r="E47" s="64"/>
      <c r="F47" s="80"/>
      <c r="G47" s="249" t="str">
        <f>IF(COUNT(E47,F47)&gt;0,$E47*$E$12*Schularbeitsplaner!C$10+$F47*$F$12*Schularbeitsplaner!C$16,"")</f>
        <v/>
      </c>
      <c r="H47" s="247" t="str">
        <f t="shared" si="3"/>
        <v/>
      </c>
      <c r="I47" s="230"/>
      <c r="J47" s="65"/>
      <c r="K47" s="83"/>
      <c r="L47" s="83"/>
      <c r="M47" s="79"/>
      <c r="N47" s="74" t="str">
        <f>IF(COUNT(J47:M47)&gt;0,IF(J47&gt;0,SUM(J47:M47)*Schularbeitsplaner!C$30,0),"")</f>
        <v/>
      </c>
      <c r="O47" s="84"/>
      <c r="P47" s="78"/>
      <c r="Q47" s="78"/>
      <c r="R47" s="79"/>
      <c r="S47" s="75" t="str">
        <f>IF(COUNT(O47:R47)&gt;0,IF(O47&gt;0,(O47+P47+Q47+R47)*Schularbeitsplaner!C$31,0),"")</f>
        <v/>
      </c>
      <c r="T47" s="253" t="str">
        <f t="shared" si="1"/>
        <v/>
      </c>
      <c r="U47" s="252" t="str">
        <f t="shared" si="4"/>
        <v/>
      </c>
      <c r="V47" s="153"/>
      <c r="W47" s="165">
        <f t="shared" si="5"/>
        <v>0</v>
      </c>
      <c r="X47" s="232" t="str">
        <f t="shared" si="6"/>
        <v/>
      </c>
      <c r="Y47" s="73" t="str">
        <f t="shared" si="2"/>
        <v/>
      </c>
      <c r="Z47" s="160"/>
      <c r="AA47" s="145"/>
      <c r="AB47" s="145"/>
      <c r="AC47" s="145"/>
      <c r="AD47" s="145"/>
      <c r="AE47" s="145"/>
    </row>
    <row r="48" spans="2:31">
      <c r="B48" s="3">
        <f t="shared" si="7"/>
        <v>27</v>
      </c>
      <c r="C48" s="8"/>
      <c r="D48" s="15"/>
      <c r="E48" s="64"/>
      <c r="F48" s="81"/>
      <c r="G48" s="249" t="str">
        <f>IF(COUNT(E48,F48)&gt;0,$E48*$E$12*Schularbeitsplaner!C$10+$F48*$F$12*Schularbeitsplaner!C$16,"")</f>
        <v/>
      </c>
      <c r="H48" s="247" t="str">
        <f t="shared" si="3"/>
        <v/>
      </c>
      <c r="I48" s="230"/>
      <c r="J48" s="65"/>
      <c r="K48" s="83"/>
      <c r="L48" s="83"/>
      <c r="M48" s="79"/>
      <c r="N48" s="74" t="str">
        <f>IF(COUNT(J48:M48)&gt;0,IF(J48&gt;0,SUM(J48:M48)*Schularbeitsplaner!C$30,0),"")</f>
        <v/>
      </c>
      <c r="O48" s="84"/>
      <c r="P48" s="78"/>
      <c r="Q48" s="78"/>
      <c r="R48" s="79"/>
      <c r="S48" s="75" t="str">
        <f>IF(COUNT(O48:R48)&gt;0,IF(O48&gt;0,(O48+P48+Q48+R48)*Schularbeitsplaner!C$31,0),"")</f>
        <v/>
      </c>
      <c r="T48" s="253" t="str">
        <f t="shared" si="1"/>
        <v/>
      </c>
      <c r="U48" s="252" t="str">
        <f t="shared" si="4"/>
        <v/>
      </c>
      <c r="V48" s="153"/>
      <c r="W48" s="165">
        <f t="shared" si="5"/>
        <v>0</v>
      </c>
      <c r="X48" s="232" t="str">
        <f t="shared" si="6"/>
        <v/>
      </c>
      <c r="Y48" s="73" t="str">
        <f t="shared" si="2"/>
        <v/>
      </c>
      <c r="Z48" s="160"/>
      <c r="AA48" s="145"/>
      <c r="AB48" s="145"/>
      <c r="AC48" s="145"/>
      <c r="AD48" s="145"/>
      <c r="AE48" s="145"/>
    </row>
    <row r="49" spans="2:31">
      <c r="B49" s="3">
        <f t="shared" si="7"/>
        <v>28</v>
      </c>
      <c r="C49" s="8"/>
      <c r="D49" s="15"/>
      <c r="E49" s="64"/>
      <c r="F49" s="80"/>
      <c r="G49" s="249" t="str">
        <f>IF(COUNT(E49,F49)&gt;0,$E49*$E$12*Schularbeitsplaner!C$10+$F49*$F$12*Schularbeitsplaner!C$16,"")</f>
        <v/>
      </c>
      <c r="H49" s="247" t="str">
        <f t="shared" si="3"/>
        <v/>
      </c>
      <c r="I49" s="230"/>
      <c r="J49" s="65"/>
      <c r="K49" s="83"/>
      <c r="L49" s="83"/>
      <c r="M49" s="79"/>
      <c r="N49" s="74" t="str">
        <f>IF(COUNT(J49:M49)&gt;0,IF(J49&gt;0,SUM(J49:M49)*Schularbeitsplaner!C$30,0),"")</f>
        <v/>
      </c>
      <c r="O49" s="84"/>
      <c r="P49" s="78"/>
      <c r="Q49" s="78"/>
      <c r="R49" s="79"/>
      <c r="S49" s="75" t="str">
        <f>IF(COUNT(O49:R49)&gt;0,IF(O49&gt;0,(O49+P49+Q49+R49)*Schularbeitsplaner!C$31,0),"")</f>
        <v/>
      </c>
      <c r="T49" s="253" t="str">
        <f t="shared" si="1"/>
        <v/>
      </c>
      <c r="U49" s="252" t="str">
        <f t="shared" si="4"/>
        <v/>
      </c>
      <c r="V49" s="153"/>
      <c r="W49" s="165">
        <f t="shared" si="5"/>
        <v>0</v>
      </c>
      <c r="X49" s="232" t="str">
        <f t="shared" si="6"/>
        <v/>
      </c>
      <c r="Y49" s="73" t="str">
        <f t="shared" si="2"/>
        <v/>
      </c>
      <c r="Z49" s="160"/>
      <c r="AA49" s="145"/>
      <c r="AB49" s="145"/>
      <c r="AC49" s="145"/>
      <c r="AD49" s="145"/>
      <c r="AE49" s="145"/>
    </row>
    <row r="50" spans="2:31" ht="16.2" thickBot="1">
      <c r="B50" s="145"/>
      <c r="C50" s="145"/>
      <c r="D50" s="266"/>
      <c r="E50" s="199">
        <f>E52</f>
        <v>75.520833333333343</v>
      </c>
      <c r="F50" s="199">
        <f>F52</f>
        <v>65.625</v>
      </c>
      <c r="G50" s="199">
        <f>I52</f>
        <v>78.666666666666671</v>
      </c>
      <c r="H50" s="199">
        <f>N52</f>
        <v>77.916666666666671</v>
      </c>
      <c r="I50" s="199">
        <f>S52</f>
        <v>0</v>
      </c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</row>
    <row r="51" spans="2:31">
      <c r="B51" s="398" t="s">
        <v>74</v>
      </c>
      <c r="C51" s="398"/>
      <c r="D51" s="399"/>
      <c r="E51" s="294">
        <f>IF(COUNT(E22:E49)&gt;0,AVERAGE(E22:E49),0)</f>
        <v>12.083333333333334</v>
      </c>
      <c r="F51" s="296">
        <f t="shared" ref="F51:X51" si="8">IF(COUNT(F22:F49)&gt;0,AVERAGE(F22:F49),0)</f>
        <v>10.5</v>
      </c>
      <c r="G51" s="298">
        <f t="shared" si="8"/>
        <v>70.572916666666671</v>
      </c>
      <c r="H51" s="299">
        <f t="shared" si="8"/>
        <v>66.927083333333329</v>
      </c>
      <c r="I51" s="305">
        <f t="shared" si="8"/>
        <v>19.666666666666668</v>
      </c>
      <c r="J51" s="302">
        <f t="shared" si="8"/>
        <v>7.833333333333333</v>
      </c>
      <c r="K51" s="303">
        <f t="shared" si="8"/>
        <v>8.5833333333333339</v>
      </c>
      <c r="L51" s="303">
        <f t="shared" si="8"/>
        <v>7.833333333333333</v>
      </c>
      <c r="M51" s="304">
        <f t="shared" si="8"/>
        <v>6.916666666666667</v>
      </c>
      <c r="N51" s="305">
        <f t="shared" si="8"/>
        <v>31.166666666666668</v>
      </c>
      <c r="O51" s="302">
        <f t="shared" si="8"/>
        <v>0</v>
      </c>
      <c r="P51" s="303">
        <f t="shared" si="8"/>
        <v>0</v>
      </c>
      <c r="Q51" s="303">
        <f t="shared" si="8"/>
        <v>0</v>
      </c>
      <c r="R51" s="304">
        <f t="shared" si="8"/>
        <v>0</v>
      </c>
      <c r="S51" s="305">
        <f t="shared" si="8"/>
        <v>0</v>
      </c>
      <c r="T51" s="300">
        <f t="shared" si="8"/>
        <v>78.291666666666671</v>
      </c>
      <c r="U51" s="301">
        <f t="shared" si="8"/>
        <v>78.291666666666671</v>
      </c>
      <c r="V51" s="197"/>
      <c r="W51" s="196">
        <f t="shared" si="8"/>
        <v>63.799107142857146</v>
      </c>
      <c r="X51" s="183">
        <f t="shared" si="8"/>
        <v>145.21875</v>
      </c>
      <c r="Y51" s="182"/>
      <c r="Z51" s="145"/>
      <c r="AA51" s="145"/>
      <c r="AB51" s="145"/>
      <c r="AC51" s="145"/>
      <c r="AD51" s="145"/>
      <c r="AE51" s="145"/>
    </row>
    <row r="52" spans="2:31" ht="16.2" thickBot="1">
      <c r="B52" s="398" t="s">
        <v>75</v>
      </c>
      <c r="C52" s="398"/>
      <c r="D52" s="399"/>
      <c r="E52" s="295">
        <f>IF(E$20&gt;0,E51/E$20*100,0)</f>
        <v>75.520833333333343</v>
      </c>
      <c r="F52" s="297">
        <f t="shared" ref="F52:X52" si="9">IF(F$20&gt;0,F51/F$20*100,0)</f>
        <v>65.625</v>
      </c>
      <c r="G52" s="298">
        <f t="shared" si="9"/>
        <v>70.572916666666671</v>
      </c>
      <c r="H52" s="299">
        <f t="shared" si="9"/>
        <v>66.927083333333329</v>
      </c>
      <c r="I52" s="306">
        <f t="shared" si="9"/>
        <v>78.666666666666671</v>
      </c>
      <c r="J52" s="302">
        <f t="shared" si="9"/>
        <v>78.333333333333329</v>
      </c>
      <c r="K52" s="303">
        <f t="shared" si="9"/>
        <v>85.833333333333343</v>
      </c>
      <c r="L52" s="303">
        <f t="shared" si="9"/>
        <v>78.333333333333329</v>
      </c>
      <c r="M52" s="304">
        <f t="shared" si="9"/>
        <v>69.166666666666671</v>
      </c>
      <c r="N52" s="306">
        <f t="shared" si="9"/>
        <v>77.916666666666671</v>
      </c>
      <c r="O52" s="302">
        <f t="shared" si="9"/>
        <v>0</v>
      </c>
      <c r="P52" s="303">
        <f t="shared" si="9"/>
        <v>0</v>
      </c>
      <c r="Q52" s="303">
        <f t="shared" si="9"/>
        <v>0</v>
      </c>
      <c r="R52" s="304">
        <f t="shared" si="9"/>
        <v>0</v>
      </c>
      <c r="S52" s="306">
        <f t="shared" si="9"/>
        <v>0</v>
      </c>
      <c r="T52" s="300">
        <f t="shared" si="9"/>
        <v>78.291666666666671</v>
      </c>
      <c r="U52" s="301">
        <f t="shared" si="9"/>
        <v>78.291666666666671</v>
      </c>
      <c r="V52" s="197"/>
      <c r="W52" s="196">
        <f t="shared" si="9"/>
        <v>31.899553571428573</v>
      </c>
      <c r="X52" s="183">
        <f t="shared" si="9"/>
        <v>72.609375</v>
      </c>
      <c r="Y52" s="198"/>
      <c r="Z52" s="145"/>
      <c r="AA52" s="145"/>
      <c r="AB52" s="145"/>
      <c r="AC52" s="145"/>
      <c r="AD52" s="145"/>
      <c r="AE52" s="145"/>
    </row>
  </sheetData>
  <sheetProtection password="C570" sheet="1" objects="1" scenarios="1" selectLockedCells="1"/>
  <mergeCells count="68">
    <mergeCell ref="AA27:AE27"/>
    <mergeCell ref="AA25:AB25"/>
    <mergeCell ref="G17:H17"/>
    <mergeCell ref="AD22:AE22"/>
    <mergeCell ref="AD23:AE23"/>
    <mergeCell ref="AD24:AE24"/>
    <mergeCell ref="AD25:AE25"/>
    <mergeCell ref="AA20:AB20"/>
    <mergeCell ref="AA21:AB21"/>
    <mergeCell ref="AA22:AB22"/>
    <mergeCell ref="AA23:AB23"/>
    <mergeCell ref="AA24:AB24"/>
    <mergeCell ref="B51:D51"/>
    <mergeCell ref="B52:D52"/>
    <mergeCell ref="AA11:AB11"/>
    <mergeCell ref="AA12:AB12"/>
    <mergeCell ref="AA13:AB13"/>
    <mergeCell ref="AA14:AB14"/>
    <mergeCell ref="AA15:AB15"/>
    <mergeCell ref="B12:D12"/>
    <mergeCell ref="B13:D13"/>
    <mergeCell ref="B14:D14"/>
    <mergeCell ref="B15:D15"/>
    <mergeCell ref="AA38:AE38"/>
    <mergeCell ref="AA19:AB19"/>
    <mergeCell ref="AA17:AB17"/>
    <mergeCell ref="AC17:AE17"/>
    <mergeCell ref="AD19:AE19"/>
    <mergeCell ref="V8:Y8"/>
    <mergeCell ref="B10:D10"/>
    <mergeCell ref="B11:D11"/>
    <mergeCell ref="B8:D8"/>
    <mergeCell ref="E15:F15"/>
    <mergeCell ref="N8:U8"/>
    <mergeCell ref="X10:Y10"/>
    <mergeCell ref="X13:Y13"/>
    <mergeCell ref="X14:Y14"/>
    <mergeCell ref="X15:Y15"/>
    <mergeCell ref="X11:Y12"/>
    <mergeCell ref="I15:S15"/>
    <mergeCell ref="V11:V12"/>
    <mergeCell ref="T10:U10"/>
    <mergeCell ref="AA8:AE8"/>
    <mergeCell ref="AA9:AB10"/>
    <mergeCell ref="AD20:AE20"/>
    <mergeCell ref="AD21:AE21"/>
    <mergeCell ref="C20:D20"/>
    <mergeCell ref="J17:N17"/>
    <mergeCell ref="O17:S17"/>
    <mergeCell ref="I14:S14"/>
    <mergeCell ref="J13:N13"/>
    <mergeCell ref="O13:S13"/>
    <mergeCell ref="H11:H12"/>
    <mergeCell ref="L8:M8"/>
    <mergeCell ref="I8:K8"/>
    <mergeCell ref="E8:G8"/>
    <mergeCell ref="G10:H10"/>
    <mergeCell ref="O10:S10"/>
    <mergeCell ref="E1:F1"/>
    <mergeCell ref="I1:J1"/>
    <mergeCell ref="K1:P1"/>
    <mergeCell ref="I7:R7"/>
    <mergeCell ref="E14:F14"/>
    <mergeCell ref="J10:N10"/>
    <mergeCell ref="J11:N11"/>
    <mergeCell ref="J12:N12"/>
    <mergeCell ref="O11:S11"/>
    <mergeCell ref="O12:S12"/>
  </mergeCells>
  <conditionalFormatting sqref="E22:E49">
    <cfRule type="expression" dxfId="4" priority="5">
      <formula>$E22&gt;$E$20</formula>
    </cfRule>
  </conditionalFormatting>
  <conditionalFormatting sqref="F22:F49">
    <cfRule type="expression" dxfId="3" priority="4">
      <formula>$F22&gt;$F$20</formula>
    </cfRule>
  </conditionalFormatting>
  <conditionalFormatting sqref="I22:I49">
    <cfRule type="expression" dxfId="2" priority="3">
      <formula>$I22&gt;$I$20</formula>
    </cfRule>
  </conditionalFormatting>
  <conditionalFormatting sqref="J22:M49">
    <cfRule type="expression" dxfId="1" priority="2">
      <formula>J22&gt;$J$20</formula>
    </cfRule>
  </conditionalFormatting>
  <conditionalFormatting sqref="O22:R49">
    <cfRule type="expression" dxfId="0" priority="1">
      <formula>O22&gt;$O$20</formula>
    </cfRule>
  </conditionalFormatting>
  <dataValidations count="1">
    <dataValidation type="list" allowBlank="1" showInputMessage="1" showErrorMessage="1" sqref="V8">
      <formula1>$U$11:$U$12</formula1>
    </dataValidation>
  </dataValidations>
  <pageMargins left="0.51181102362204722" right="0.51181102362204722" top="0.55118110236220474" bottom="0.35433070866141736" header="0.11811023622047245" footer="0.11811023622047245"/>
  <pageSetup paperSize="9" scale="71" orientation="landscape" r:id="rId1"/>
  <ignoredErrors>
    <ignoredError sqref="N22:N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Schularbeitsplaner</vt:lpstr>
      <vt:lpstr>Beurteilungsblatt</vt:lpstr>
      <vt:lpstr>Beurteilungsblatt!Druckbereich</vt:lpstr>
      <vt:lpstr>Schularbeitsplaner!Druckbereich</vt:lpstr>
    </vt:vector>
  </TitlesOfParts>
  <Company>Bundesinstitut Bifie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Simon</dc:creator>
  <cp:lastModifiedBy>Herbert</cp:lastModifiedBy>
  <cp:lastPrinted>2014-03-02T18:13:03Z</cp:lastPrinted>
  <dcterms:created xsi:type="dcterms:W3CDTF">2012-11-20T13:54:34Z</dcterms:created>
  <dcterms:modified xsi:type="dcterms:W3CDTF">2014-05-12T07:30:01Z</dcterms:modified>
</cp:coreProperties>
</file>